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020" windowWidth="21630" windowHeight="5595"/>
  </bookViews>
  <sheets>
    <sheet name="2021г" sheetId="3" r:id="rId1"/>
  </sheets>
  <definedNames>
    <definedName name="_xlnm.Print_Titles" localSheetId="0">'2021г'!$4:$4</definedName>
    <definedName name="_xlnm.Print_Area" localSheetId="0">'2021г'!$A$1:$J$58</definedName>
  </definedNames>
  <calcPr calcId="145621" refMode="R1C1"/>
</workbook>
</file>

<file path=xl/calcChain.xml><?xml version="1.0" encoding="utf-8"?>
<calcChain xmlns="http://schemas.openxmlformats.org/spreadsheetml/2006/main">
  <c r="G5" i="3" l="1"/>
  <c r="G27" i="3"/>
  <c r="I31" i="3"/>
  <c r="I54" i="3"/>
  <c r="I49" i="3"/>
  <c r="I51" i="3"/>
  <c r="H51" i="3"/>
  <c r="I43" i="3"/>
  <c r="I41" i="3"/>
  <c r="I39" i="3"/>
  <c r="I38" i="3"/>
  <c r="I35" i="3"/>
  <c r="I34" i="3"/>
  <c r="I32" i="3"/>
  <c r="I29" i="3"/>
  <c r="I26" i="3"/>
  <c r="I27" i="3"/>
  <c r="H27" i="3"/>
  <c r="I24" i="3"/>
  <c r="I23" i="3"/>
  <c r="E10" i="3"/>
  <c r="I9" i="3" l="1"/>
  <c r="I15" i="3" l="1"/>
  <c r="H15" i="3"/>
  <c r="I10" i="3"/>
  <c r="H10" i="3"/>
  <c r="E7" i="3" l="1"/>
  <c r="J10" i="3"/>
  <c r="E13" i="3"/>
  <c r="H7" i="3"/>
  <c r="I7" i="3"/>
  <c r="E9" i="3"/>
  <c r="E6" i="3"/>
  <c r="I6" i="3"/>
  <c r="E12" i="3"/>
  <c r="F12" i="3"/>
  <c r="I12" i="3"/>
  <c r="J15" i="3" l="1"/>
  <c r="F15" i="3"/>
  <c r="G51" i="3" l="1"/>
  <c r="H32" i="3"/>
  <c r="F6" i="3" l="1"/>
  <c r="G8" i="3"/>
  <c r="D13" i="3" l="1"/>
  <c r="C13" i="3"/>
  <c r="D12" i="3"/>
  <c r="G15" i="3" l="1"/>
  <c r="D15" i="3"/>
  <c r="H23" i="3" l="1"/>
  <c r="H43" i="3" l="1"/>
  <c r="H35" i="3"/>
  <c r="H39" i="3"/>
  <c r="I53" i="3" l="1"/>
  <c r="F18" i="3" l="1"/>
  <c r="G48" i="3"/>
  <c r="G45" i="3"/>
  <c r="G25" i="3" l="1"/>
  <c r="G43" i="3"/>
  <c r="G39" i="3"/>
  <c r="G35" i="3"/>
  <c r="G33" i="3" s="1"/>
  <c r="C7" i="3" l="1"/>
  <c r="H12" i="3"/>
  <c r="J12" i="3"/>
  <c r="C10" i="3"/>
  <c r="F14" i="3" l="1"/>
  <c r="I14" i="3"/>
  <c r="F17" i="3" l="1"/>
  <c r="D6" i="3"/>
  <c r="G12" i="3" l="1"/>
  <c r="G21" i="3" s="1"/>
  <c r="G40" i="3" l="1"/>
  <c r="G32" i="3"/>
  <c r="G30" i="3" s="1"/>
  <c r="J43" i="3"/>
  <c r="G37" i="3"/>
  <c r="I56" i="3"/>
  <c r="J56" i="3" s="1"/>
  <c r="I19" i="3"/>
  <c r="I18" i="3"/>
  <c r="J7" i="3"/>
  <c r="I55" i="3"/>
  <c r="J54" i="3"/>
  <c r="J53" i="3"/>
  <c r="I52" i="3"/>
  <c r="J52" i="3" s="1"/>
  <c r="I50" i="3"/>
  <c r="H50" i="3"/>
  <c r="J49" i="3"/>
  <c r="I47" i="3"/>
  <c r="J47" i="3" s="1"/>
  <c r="J46" i="3"/>
  <c r="I44" i="3"/>
  <c r="J44" i="3" s="1"/>
  <c r="I42" i="3"/>
  <c r="J42" i="3" s="1"/>
  <c r="H41" i="3"/>
  <c r="J39" i="3"/>
  <c r="H38" i="3"/>
  <c r="I36" i="3"/>
  <c r="J35" i="3"/>
  <c r="H34" i="3"/>
  <c r="H31" i="3"/>
  <c r="H29" i="3"/>
  <c r="J28" i="3"/>
  <c r="H26" i="3"/>
  <c r="J24" i="3"/>
  <c r="J23" i="3"/>
  <c r="H18" i="3"/>
  <c r="H14" i="3"/>
  <c r="H19" i="3" s="1"/>
  <c r="C14" i="3"/>
  <c r="J13" i="3"/>
  <c r="I17" i="3"/>
  <c r="C12" i="3"/>
  <c r="H9" i="3"/>
  <c r="J9" i="3" s="1"/>
  <c r="H6" i="3"/>
  <c r="C6" i="3"/>
  <c r="H17" i="3" l="1"/>
  <c r="J6" i="3"/>
  <c r="J18" i="3"/>
  <c r="J51" i="3"/>
  <c r="J55" i="3"/>
  <c r="J36" i="3"/>
  <c r="J50" i="3"/>
  <c r="J27" i="3"/>
  <c r="I61" i="3" s="1"/>
  <c r="J29" i="3"/>
  <c r="J38" i="3"/>
  <c r="J31" i="3"/>
  <c r="J32" i="3"/>
  <c r="J41" i="3"/>
  <c r="J34" i="3"/>
  <c r="J26" i="3"/>
  <c r="I60" i="3" s="1"/>
  <c r="F19" i="3"/>
  <c r="J17" i="3"/>
  <c r="J14" i="3"/>
  <c r="J19" i="3" s="1"/>
</calcChain>
</file>

<file path=xl/comments1.xml><?xml version="1.0" encoding="utf-8"?>
<comments xmlns="http://schemas.openxmlformats.org/spreadsheetml/2006/main">
  <authors>
    <author>Маргарита Смиричинская</author>
  </authors>
  <commentList>
    <comment ref="B5" authorId="0">
      <text>
        <r>
          <rPr>
            <b/>
            <sz val="9"/>
            <color indexed="81"/>
            <rFont val="Tahoma"/>
            <family val="2"/>
            <charset val="204"/>
          </rPr>
          <t>Маргарита Смиричинская:</t>
        </r>
        <r>
          <rPr>
            <sz val="9"/>
            <color indexed="81"/>
            <rFont val="Tahoma"/>
            <family val="2"/>
            <charset val="204"/>
          </rPr>
          <t xml:space="preserve">
сч №21870064300700</t>
        </r>
      </text>
    </comment>
    <comment ref="B8" authorId="0">
      <text>
        <r>
          <rPr>
            <b/>
            <sz val="9"/>
            <color indexed="81"/>
            <rFont val="Tahoma"/>
            <family val="2"/>
            <charset val="204"/>
          </rPr>
          <t>Маргарита Смиричинская:</t>
        </r>
        <r>
          <rPr>
            <sz val="9"/>
            <color indexed="81"/>
            <rFont val="Tahoma"/>
            <family val="2"/>
            <charset val="204"/>
          </rPr>
          <t xml:space="preserve">
сч№ 21870064300500</t>
        </r>
      </text>
    </comment>
    <comment ref="B11" authorId="0">
      <text>
        <r>
          <rPr>
            <b/>
            <sz val="9"/>
            <color indexed="81"/>
            <rFont val="Tahoma"/>
            <family val="2"/>
            <charset val="204"/>
          </rPr>
          <t>Маргарита Смиричинская:</t>
        </r>
        <r>
          <rPr>
            <sz val="9"/>
            <color indexed="81"/>
            <rFont val="Tahoma"/>
            <family val="2"/>
            <charset val="204"/>
          </rPr>
          <t xml:space="preserve">
сч№ 21870064300701
сч№ 218700978090350</t>
        </r>
      </text>
    </comment>
    <comment ref="B14" authorId="0">
      <text>
        <r>
          <rPr>
            <b/>
            <sz val="9"/>
            <color indexed="81"/>
            <rFont val="Tahoma"/>
            <family val="2"/>
            <charset val="204"/>
          </rPr>
          <t>Маргарита Смиричинская:</t>
        </r>
        <r>
          <rPr>
            <sz val="9"/>
            <color indexed="81"/>
            <rFont val="Tahoma"/>
            <family val="2"/>
            <charset val="204"/>
          </rPr>
          <t xml:space="preserve">
сч№ 218800000277
</t>
        </r>
      </text>
    </comment>
    <comment ref="B15" authorId="0">
      <text>
        <r>
          <rPr>
            <b/>
            <sz val="9"/>
            <color indexed="81"/>
            <rFont val="Tahoma"/>
            <family val="2"/>
            <charset val="204"/>
          </rPr>
          <t>Маргарита Смиричинская:</t>
        </r>
        <r>
          <rPr>
            <sz val="9"/>
            <color indexed="81"/>
            <rFont val="Tahoma"/>
            <family val="2"/>
            <charset val="204"/>
          </rPr>
          <t xml:space="preserve">
сч№ 218800000274</t>
        </r>
      </text>
    </comment>
  </commentList>
</comments>
</file>

<file path=xl/sharedStrings.xml><?xml version="1.0" encoding="utf-8"?>
<sst xmlns="http://schemas.openxmlformats.org/spreadsheetml/2006/main" count="67" uniqueCount="41">
  <si>
    <t>№
п/п</t>
  </si>
  <si>
    <t>Направление</t>
  </si>
  <si>
    <t>Выдано</t>
  </si>
  <si>
    <t>Погашено</t>
  </si>
  <si>
    <t>ВСЕГО</t>
  </si>
  <si>
    <t>росс. руб.</t>
  </si>
  <si>
    <t xml:space="preserve">руб. ПМР </t>
  </si>
  <si>
    <t>в том числе</t>
  </si>
  <si>
    <t>Овощеводство и растениеводство</t>
  </si>
  <si>
    <t>Производство и переработка продовольственных, промышленных товаров, товаров народного потребления</t>
  </si>
  <si>
    <t>Оказание услуг населению</t>
  </si>
  <si>
    <t>Неустойка/
проценты, направленные на дальнейшее кредитование</t>
  </si>
  <si>
    <t>Кол-во</t>
  </si>
  <si>
    <t>Задолженность
по кредитам  (займам)</t>
  </si>
  <si>
    <t>Приложение № 2</t>
  </si>
  <si>
    <t>*24,6 млн. руб. перечислено в республиканский бюджет в соответствии с Законом ПМР "О республиканском бюджете на 2014 год и плановый период 2015 и 2016 годов ".</t>
  </si>
  <si>
    <t xml:space="preserve">Гос. Программа (МП ), *
руб. ПМР </t>
  </si>
  <si>
    <t>Общественное питание</t>
  </si>
  <si>
    <t xml:space="preserve">росс. руб. </t>
  </si>
  <si>
    <t>Агропромышленный комплекс</t>
  </si>
  <si>
    <t>Евро</t>
  </si>
  <si>
    <t>Малое предпринимательство с полным залогом</t>
  </si>
  <si>
    <t xml:space="preserve">Малое предпринимательство с поручительством ФГР ПМР </t>
  </si>
  <si>
    <t xml:space="preserve">Развитие личного подсобного хозяйства, руб. ПМР </t>
  </si>
  <si>
    <t>Хранение и переработка сельхоз. продукции</t>
  </si>
  <si>
    <t>Раскорчевка</t>
  </si>
  <si>
    <t>Переброска на другие направления</t>
  </si>
  <si>
    <t>Конвертация
 в Евро</t>
  </si>
  <si>
    <t>Выделено средств
на кредитование
(в т.ч. после конвертации в Евро)</t>
  </si>
  <si>
    <t>Информация о кредитовании хозяйствующих субъектов
 за счет средств финансового резерва Фонд государственного резерва Приднестровской Молдавской Республики
по состоянию на 31 декабря 2021 года</t>
  </si>
  <si>
    <r>
      <t xml:space="preserve">Животноводство, </t>
    </r>
    <r>
      <rPr>
        <i/>
        <sz val="10"/>
        <rFont val="Times New Roman"/>
        <family val="1"/>
        <charset val="204"/>
      </rPr>
      <t>росс. руб.</t>
    </r>
  </si>
  <si>
    <r>
      <t xml:space="preserve">Закладка многолетних насаждений, </t>
    </r>
    <r>
      <rPr>
        <i/>
        <sz val="10"/>
        <rFont val="Times New Roman"/>
        <family val="1"/>
        <charset val="204"/>
      </rPr>
      <t>росс. руб.</t>
    </r>
  </si>
  <si>
    <r>
      <t xml:space="preserve">Мелиорация, </t>
    </r>
    <r>
      <rPr>
        <i/>
        <sz val="10"/>
        <rFont val="Times New Roman"/>
        <family val="1"/>
        <charset val="204"/>
      </rPr>
      <t>росс. руб.</t>
    </r>
  </si>
  <si>
    <r>
      <t xml:space="preserve">Переработка вторичного сырья, </t>
    </r>
    <r>
      <rPr>
        <i/>
        <sz val="10"/>
        <rFont val="Times New Roman"/>
        <family val="1"/>
        <charset val="204"/>
      </rPr>
      <t xml:space="preserve">руб. ПМР </t>
    </r>
  </si>
  <si>
    <r>
      <t xml:space="preserve">Разработка, внедрение (установка) и реализация программных продуктов, </t>
    </r>
    <r>
      <rPr>
        <i/>
        <sz val="10"/>
        <rFont val="Times New Roman"/>
        <family val="1"/>
        <charset val="204"/>
      </rPr>
      <t xml:space="preserve">руб. ПМР </t>
    </r>
  </si>
  <si>
    <r>
      <t>Внутренний туризм,</t>
    </r>
    <r>
      <rPr>
        <i/>
        <sz val="10"/>
        <rFont val="Times New Roman"/>
        <family val="1"/>
        <charset val="204"/>
      </rPr>
      <t xml:space="preserve"> руб. ПМР </t>
    </r>
  </si>
  <si>
    <r>
      <t xml:space="preserve">Международные пассажирские перевозки, </t>
    </r>
    <r>
      <rPr>
        <i/>
        <sz val="10"/>
        <rFont val="Times New Roman"/>
        <family val="1"/>
        <charset val="204"/>
      </rPr>
      <t>Евро</t>
    </r>
  </si>
  <si>
    <r>
      <t xml:space="preserve">Выплата зп, начисленной в период ЧП, </t>
    </r>
    <r>
      <rPr>
        <i/>
        <sz val="10"/>
        <rFont val="Times New Roman"/>
        <family val="1"/>
        <charset val="204"/>
      </rPr>
      <t>Евро</t>
    </r>
  </si>
  <si>
    <r>
      <t xml:space="preserve">Производство изделий народных художественных промыслов, </t>
    </r>
    <r>
      <rPr>
        <i/>
        <sz val="10"/>
        <rFont val="Times New Roman"/>
        <family val="1"/>
        <charset val="204"/>
      </rPr>
      <t>росс. руб.</t>
    </r>
  </si>
  <si>
    <t>проверка</t>
  </si>
  <si>
    <t>рубли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</si>
</sst>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rgb="FFFF0000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0" fillId="0" borderId="0" xfId="0" applyFont="1" applyFill="1"/>
    <xf numFmtId="0" fontId="9" fillId="0" borderId="12" xfId="1" applyFont="1" applyFill="1" applyBorder="1" applyAlignment="1">
      <alignment horizontal="left" vertical="center" wrapText="1"/>
    </xf>
    <xf numFmtId="3" fontId="7" fillId="0" borderId="18" xfId="1" applyNumberFormat="1" applyFont="1" applyFill="1" applyBorder="1" applyAlignment="1">
      <alignment horizontal="right" vertical="center" wrapText="1"/>
    </xf>
    <xf numFmtId="3" fontId="7" fillId="0" borderId="19" xfId="1" applyNumberFormat="1" applyFont="1" applyFill="1" applyBorder="1" applyAlignment="1">
      <alignment horizontal="right" vertical="center" wrapText="1"/>
    </xf>
    <xf numFmtId="3" fontId="7" fillId="0" borderId="12" xfId="1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/>
    <xf numFmtId="4" fontId="7" fillId="0" borderId="6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 wrapText="1"/>
    </xf>
    <xf numFmtId="0" fontId="7" fillId="0" borderId="5" xfId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/>
    <xf numFmtId="3" fontId="5" fillId="0" borderId="9" xfId="1" applyNumberFormat="1" applyFont="1" applyFill="1" applyBorder="1" applyAlignment="1">
      <alignment vertical="center"/>
    </xf>
    <xf numFmtId="3" fontId="5" fillId="0" borderId="1" xfId="1" applyNumberFormat="1" applyFont="1" applyFill="1" applyBorder="1" applyAlignment="1">
      <alignment vertical="center"/>
    </xf>
    <xf numFmtId="3" fontId="5" fillId="0" borderId="5" xfId="1" applyNumberFormat="1" applyFont="1" applyFill="1" applyBorder="1" applyAlignment="1">
      <alignment horizontal="center" vertical="center"/>
    </xf>
    <xf numFmtId="3" fontId="3" fillId="0" borderId="6" xfId="1" applyNumberFormat="1" applyFont="1" applyFill="1" applyBorder="1" applyAlignment="1">
      <alignment vertical="center" wrapText="1"/>
    </xf>
    <xf numFmtId="3" fontId="4" fillId="0" borderId="6" xfId="0" applyNumberFormat="1" applyFont="1" applyFill="1" applyBorder="1"/>
    <xf numFmtId="3" fontId="5" fillId="0" borderId="6" xfId="1" applyNumberFormat="1" applyFont="1" applyFill="1" applyBorder="1" applyAlignment="1">
      <alignment horizontal="center" vertical="center" wrapText="1"/>
    </xf>
    <xf numFmtId="3" fontId="5" fillId="0" borderId="7" xfId="1" applyNumberFormat="1" applyFont="1" applyFill="1" applyBorder="1" applyAlignment="1">
      <alignment horizontal="center" vertical="center"/>
    </xf>
    <xf numFmtId="3" fontId="12" fillId="0" borderId="1" xfId="1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/>
    <xf numFmtId="3" fontId="5" fillId="0" borderId="8" xfId="1" applyNumberFormat="1" applyFont="1" applyFill="1" applyBorder="1" applyAlignment="1">
      <alignment horizontal="center" vertical="center"/>
    </xf>
    <xf numFmtId="3" fontId="12" fillId="0" borderId="9" xfId="1" applyNumberFormat="1" applyFont="1" applyFill="1" applyBorder="1" applyAlignment="1">
      <alignment horizontal="right" vertical="center" wrapText="1"/>
    </xf>
    <xf numFmtId="3" fontId="4" fillId="0" borderId="9" xfId="0" applyNumberFormat="1" applyFont="1" applyFill="1" applyBorder="1"/>
    <xf numFmtId="3" fontId="5" fillId="0" borderId="12" xfId="1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3" fontId="4" fillId="0" borderId="12" xfId="0" applyNumberFormat="1" applyFont="1" applyFill="1" applyBorder="1"/>
    <xf numFmtId="3" fontId="5" fillId="0" borderId="2" xfId="1" applyNumberFormat="1" applyFont="1" applyFill="1" applyBorder="1" applyAlignment="1">
      <alignment horizontal="center" vertical="center" wrapText="1"/>
    </xf>
    <xf numFmtId="3" fontId="3" fillId="0" borderId="10" xfId="1" applyNumberFormat="1" applyFont="1" applyFill="1" applyBorder="1" applyAlignment="1">
      <alignment horizontal="center" vertical="center" wrapText="1"/>
    </xf>
    <xf numFmtId="3" fontId="3" fillId="0" borderId="11" xfId="1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3" fontId="9" fillId="0" borderId="7" xfId="1" applyNumberFormat="1" applyFont="1" applyFill="1" applyBorder="1" applyAlignment="1">
      <alignment horizontal="center" vertical="center"/>
    </xf>
    <xf numFmtId="4" fontId="0" fillId="0" borderId="0" xfId="0" applyNumberFormat="1" applyFont="1" applyFill="1"/>
    <xf numFmtId="3" fontId="5" fillId="0" borderId="10" xfId="1" applyNumberFormat="1" applyFont="1" applyFill="1" applyBorder="1" applyAlignment="1">
      <alignment horizontal="center" vertical="center"/>
    </xf>
    <xf numFmtId="3" fontId="3" fillId="0" borderId="11" xfId="1" applyNumberFormat="1" applyFont="1" applyFill="1" applyBorder="1" applyAlignment="1">
      <alignment vertical="center" wrapText="1"/>
    </xf>
    <xf numFmtId="3" fontId="5" fillId="0" borderId="11" xfId="1" applyNumberFormat="1" applyFont="1" applyFill="1" applyBorder="1" applyAlignment="1">
      <alignment vertical="center"/>
    </xf>
    <xf numFmtId="3" fontId="5" fillId="0" borderId="13" xfId="1" applyNumberFormat="1" applyFont="1" applyFill="1" applyBorder="1" applyAlignment="1">
      <alignment horizontal="center" vertical="center" wrapText="1"/>
    </xf>
    <xf numFmtId="3" fontId="5" fillId="0" borderId="13" xfId="1" applyNumberFormat="1" applyFont="1" applyFill="1" applyBorder="1" applyAlignment="1">
      <alignment horizontal="right" vertical="center" wrapText="1"/>
    </xf>
    <xf numFmtId="3" fontId="3" fillId="0" borderId="5" xfId="1" applyNumberFormat="1" applyFont="1" applyFill="1" applyBorder="1" applyAlignment="1">
      <alignment horizontal="center" vertical="center"/>
    </xf>
    <xf numFmtId="3" fontId="3" fillId="0" borderId="14" xfId="1" applyNumberFormat="1" applyFont="1" applyFill="1" applyBorder="1" applyAlignment="1">
      <alignment vertical="center" wrapText="1"/>
    </xf>
    <xf numFmtId="3" fontId="5" fillId="0" borderId="15" xfId="1" applyNumberFormat="1" applyFont="1" applyFill="1" applyBorder="1"/>
    <xf numFmtId="3" fontId="5" fillId="0" borderId="16" xfId="1" applyNumberFormat="1" applyFont="1" applyFill="1" applyBorder="1" applyAlignment="1">
      <alignment horizontal="center" vertical="center"/>
    </xf>
    <xf numFmtId="3" fontId="3" fillId="0" borderId="14" xfId="1" applyNumberFormat="1" applyFont="1" applyFill="1" applyBorder="1" applyAlignment="1">
      <alignment horizontal="center" vertical="center" wrapText="1"/>
    </xf>
    <xf numFmtId="3" fontId="3" fillId="0" borderId="14" xfId="1" applyNumberFormat="1" applyFont="1" applyFill="1" applyBorder="1" applyAlignment="1">
      <alignment vertical="center"/>
    </xf>
    <xf numFmtId="3" fontId="3" fillId="0" borderId="7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vertical="center" wrapText="1"/>
    </xf>
    <xf numFmtId="3" fontId="3" fillId="0" borderId="2" xfId="1" applyNumberFormat="1" applyFont="1" applyFill="1" applyBorder="1" applyAlignment="1">
      <alignment vertical="center" wrapText="1"/>
    </xf>
    <xf numFmtId="3" fontId="3" fillId="0" borderId="8" xfId="1" applyNumberFormat="1" applyFont="1" applyFill="1" applyBorder="1" applyAlignment="1">
      <alignment horizontal="center" vertical="center"/>
    </xf>
    <xf numFmtId="3" fontId="3" fillId="0" borderId="9" xfId="1" applyNumberFormat="1" applyFont="1" applyFill="1" applyBorder="1" applyAlignment="1">
      <alignment horizontal="right" vertical="center" wrapText="1"/>
    </xf>
    <xf numFmtId="3" fontId="3" fillId="0" borderId="17" xfId="1" applyNumberFormat="1" applyFont="1" applyFill="1" applyBorder="1" applyAlignment="1">
      <alignment horizontal="right" vertical="center" wrapText="1"/>
    </xf>
    <xf numFmtId="0" fontId="5" fillId="0" borderId="7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righ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right" vertical="center" wrapText="1"/>
    </xf>
    <xf numFmtId="4" fontId="5" fillId="0" borderId="1" xfId="1" applyNumberFormat="1" applyFont="1" applyFill="1" applyBorder="1" applyAlignment="1">
      <alignment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4" fontId="4" fillId="0" borderId="0" xfId="0" applyNumberFormat="1" applyFont="1" applyFill="1" applyBorder="1"/>
    <xf numFmtId="4" fontId="4" fillId="0" borderId="1" xfId="0" applyNumberFormat="1" applyFont="1" applyFill="1" applyBorder="1"/>
    <xf numFmtId="0" fontId="3" fillId="0" borderId="1" xfId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/>
    </xf>
    <xf numFmtId="0" fontId="5" fillId="0" borderId="20" xfId="1" applyFont="1" applyFill="1" applyBorder="1" applyAlignment="1">
      <alignment horizontal="center" vertical="center"/>
    </xf>
    <xf numFmtId="4" fontId="5" fillId="0" borderId="24" xfId="1" applyNumberFormat="1" applyFont="1" applyFill="1" applyBorder="1" applyAlignment="1">
      <alignment horizontal="right" vertical="center" wrapText="1"/>
    </xf>
    <xf numFmtId="4" fontId="5" fillId="0" borderId="24" xfId="1" applyNumberFormat="1" applyFont="1" applyFill="1" applyBorder="1" applyAlignment="1">
      <alignment vertical="center"/>
    </xf>
    <xf numFmtId="3" fontId="3" fillId="0" borderId="2" xfId="1" applyNumberFormat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vertical="center" wrapText="1"/>
    </xf>
    <xf numFmtId="3" fontId="0" fillId="0" borderId="0" xfId="0" applyNumberFormat="1" applyFont="1" applyFill="1"/>
    <xf numFmtId="0" fontId="5" fillId="0" borderId="2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center" vertical="center" wrapText="1"/>
    </xf>
    <xf numFmtId="0" fontId="5" fillId="0" borderId="2" xfId="1" applyFont="1" applyFill="1" applyBorder="1" applyAlignment="1">
      <alignment horizontal="left" wrapText="1"/>
    </xf>
    <xf numFmtId="0" fontId="5" fillId="0" borderId="4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0" fontId="5" fillId="0" borderId="0" xfId="0" applyFont="1" applyFill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21" xfId="1" applyFont="1" applyFill="1" applyBorder="1" applyAlignment="1">
      <alignment horizontal="left" vertical="center" wrapText="1"/>
    </xf>
    <xf numFmtId="0" fontId="5" fillId="0" borderId="22" xfId="1" applyFont="1" applyFill="1" applyBorder="1" applyAlignment="1">
      <alignment horizontal="left" vertical="center" wrapText="1"/>
    </xf>
    <xf numFmtId="0" fontId="5" fillId="0" borderId="23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/>
    </xf>
  </cellXfs>
  <cellStyles count="10">
    <cellStyle name="Обычный" xfId="0" builtinId="0"/>
    <cellStyle name="Обычный 2" xfId="2"/>
    <cellStyle name="Обычный 2 2" xfId="3"/>
    <cellStyle name="Обычный 3" xfId="4"/>
    <cellStyle name="Обычный 3 2" xfId="5"/>
    <cellStyle name="Обычный 3 3" xfId="6"/>
    <cellStyle name="Обычный 4" xfId="7"/>
    <cellStyle name="Обычный 4 2" xfId="8"/>
    <cellStyle name="Обычный 5" xfId="1"/>
    <cellStyle name="Обычный 5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1"/>
  <sheetViews>
    <sheetView tabSelected="1" view="pageBreakPreview" topLeftCell="A4" zoomScaleNormal="115" zoomScaleSheetLayoutView="100" workbookViewId="0">
      <selection activeCell="J67" sqref="J67"/>
    </sheetView>
  </sheetViews>
  <sheetFormatPr defaultRowHeight="11.25" x14ac:dyDescent="0.2"/>
  <cols>
    <col min="1" max="1" width="6.83203125" style="2" customWidth="1"/>
    <col min="2" max="2" width="32.83203125" style="1" customWidth="1"/>
    <col min="3" max="3" width="15.5" style="1" customWidth="1"/>
    <col min="4" max="4" width="14.83203125" style="1" customWidth="1"/>
    <col min="5" max="5" width="18.6640625" style="1" customWidth="1"/>
    <col min="6" max="6" width="16.1640625" style="3" customWidth="1"/>
    <col min="7" max="7" width="10.33203125" style="3" customWidth="1"/>
    <col min="8" max="10" width="17" style="8" customWidth="1"/>
    <col min="11" max="11" width="11.1640625" style="1" bestFit="1" customWidth="1"/>
    <col min="12" max="12" width="11.6640625" style="1" bestFit="1" customWidth="1"/>
    <col min="13" max="16384" width="9.33203125" style="1"/>
  </cols>
  <sheetData>
    <row r="1" spans="1:11" ht="12.75" x14ac:dyDescent="0.2">
      <c r="J1" s="86" t="s">
        <v>14</v>
      </c>
    </row>
    <row r="2" spans="1:11" ht="11.25" customHeight="1" x14ac:dyDescent="0.2">
      <c r="A2" s="76" t="s">
        <v>29</v>
      </c>
      <c r="B2" s="76"/>
      <c r="C2" s="76"/>
      <c r="D2" s="76"/>
      <c r="E2" s="76"/>
      <c r="F2" s="76"/>
      <c r="G2" s="76"/>
      <c r="H2" s="76"/>
      <c r="I2" s="76"/>
      <c r="J2" s="76"/>
    </row>
    <row r="3" spans="1:11" ht="37.5" customHeight="1" thickBo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</row>
    <row r="4" spans="1:11" s="32" customFormat="1" ht="102" customHeight="1" thickBot="1" x14ac:dyDescent="0.25">
      <c r="A4" s="30" t="s">
        <v>0</v>
      </c>
      <c r="B4" s="31" t="s">
        <v>1</v>
      </c>
      <c r="C4" s="31" t="s">
        <v>28</v>
      </c>
      <c r="D4" s="31" t="s">
        <v>26</v>
      </c>
      <c r="E4" s="31" t="s">
        <v>27</v>
      </c>
      <c r="F4" s="31" t="s">
        <v>11</v>
      </c>
      <c r="G4" s="31" t="s">
        <v>12</v>
      </c>
      <c r="H4" s="31" t="s">
        <v>2</v>
      </c>
      <c r="I4" s="31" t="s">
        <v>3</v>
      </c>
      <c r="J4" s="31" t="s">
        <v>13</v>
      </c>
      <c r="K4" s="27"/>
    </row>
    <row r="5" spans="1:11" s="32" customFormat="1" ht="12.75" x14ac:dyDescent="0.2">
      <c r="A5" s="16">
        <v>1</v>
      </c>
      <c r="B5" s="17" t="s">
        <v>19</v>
      </c>
      <c r="C5" s="18"/>
      <c r="D5" s="18"/>
      <c r="E5" s="18"/>
      <c r="F5" s="18"/>
      <c r="G5" s="19">
        <f>168+3+2+4+7+1+1</f>
        <v>186</v>
      </c>
      <c r="H5" s="18"/>
      <c r="I5" s="18"/>
      <c r="J5" s="18"/>
      <c r="K5" s="27"/>
    </row>
    <row r="6" spans="1:11" s="32" customFormat="1" ht="12.75" x14ac:dyDescent="0.2">
      <c r="A6" s="33"/>
      <c r="B6" s="21" t="s">
        <v>5</v>
      </c>
      <c r="C6" s="15">
        <f>214518000+201094791</f>
        <v>415612791</v>
      </c>
      <c r="D6" s="15">
        <f>65000000-28600392.13</f>
        <v>36399607.870000005</v>
      </c>
      <c r="E6" s="15">
        <f>7392587+35399878.94+22213373.54+5456564.35+87240+1261192+3928220+820528.63+4317758+174801+69500+1046716.18+27040070.42+26690864.25+10665836.75+14905267.09+16661216.3+26784014.22</f>
        <v>204915628.67000002</v>
      </c>
      <c r="F6" s="15">
        <f>99241.18+170800+321.26+36261+20639.17+17382+293024.18+284420.56+1305549.82+60183+690969.11+264313.64+602036.75+1200583+134436.18+604571.48+279985.53+521900.58+1223951.29</f>
        <v>7810569.7300000004</v>
      </c>
      <c r="G6" s="22"/>
      <c r="H6" s="15">
        <f>417744917.75+6702750+12250000+35251836.79+820268.09+8702733.44+22169564.56+9186321.75+275807198.38-1816625.73+17360556.81+6555579.91+1211951.7+26727073.22+48690244.8+15043650.41+123400920.38+18192549.35+26106772.6+4332674.12+53110776.77+8851688.12+945044.34+38516152.49+1307247.5+9124493.19+3008757.57-0.04</f>
        <v>1189305098.2699997</v>
      </c>
      <c r="I6" s="15">
        <f>347231530+6988837.21+4999328.53+3709422.27+2381670.19+6916892.65+1838479.93+1811413.59+10991771.24+25255367.48+13324563+205179753.1-1816625.73+12284097.32+4498284.6+3639446.22+6396807.04+23102845.16+8806016+7130884.04+16473401.22+8409699+9019645+20445138.01+12332095+8883560.92+7350302.54+40000+8765932.79+6381338.63+3179400+13869749.29+9170795+4647096+23476348.27+8612390.85+21282409.89+4539982+7505831.33+4742302+4613685.83+8769106+5661352+5594066.17+14057814.04+7038984.04+11167880.75+14760882.95+17558097.8+24176902.92</f>
        <v>1007196974.0799997</v>
      </c>
      <c r="J6" s="15">
        <f>H6-I6</f>
        <v>182108124.19000006</v>
      </c>
      <c r="K6" s="27"/>
    </row>
    <row r="7" spans="1:11" s="32" customFormat="1" ht="13.5" thickBot="1" x14ac:dyDescent="0.25">
      <c r="A7" s="23"/>
      <c r="B7" s="24" t="s">
        <v>20</v>
      </c>
      <c r="C7" s="14">
        <f>605373.83+200000+200000+305765.28+63802.27+1074.75+15772.39+49272.63+10546.48+56374.87+2251.8+887.92+13424.46+312851.39+293366.97+150000</f>
        <v>2280765.04</v>
      </c>
      <c r="D7" s="14"/>
      <c r="E7" s="14">
        <f>118361.62+130910.08+229761.85+76275+321106.22</f>
        <v>876414.77</v>
      </c>
      <c r="F7" s="14"/>
      <c r="G7" s="25"/>
      <c r="H7" s="14">
        <f>34871.06+420439.12+330892.26+247016.5+334467+260456.05-75+253169.2+738117.14+309064.79+394040.24</f>
        <v>3322458.3600000003</v>
      </c>
      <c r="I7" s="14">
        <f>8000+29383+9805+26419-75+31680.47+14029+39436.25+279143.97</f>
        <v>437821.68999999994</v>
      </c>
      <c r="J7" s="14">
        <f>H7-I7</f>
        <v>2884636.6700000004</v>
      </c>
      <c r="K7" s="27"/>
    </row>
    <row r="8" spans="1:11" s="32" customFormat="1" ht="25.5" x14ac:dyDescent="0.2">
      <c r="A8" s="16">
        <v>2</v>
      </c>
      <c r="B8" s="17" t="s">
        <v>21</v>
      </c>
      <c r="C8" s="18"/>
      <c r="D8" s="18"/>
      <c r="E8" s="18"/>
      <c r="F8" s="18"/>
      <c r="G8" s="26">
        <f>35+1+1+1</f>
        <v>38</v>
      </c>
      <c r="H8" s="18"/>
      <c r="I8" s="18"/>
      <c r="J8" s="18"/>
      <c r="K8" s="27"/>
    </row>
    <row r="9" spans="1:11" s="32" customFormat="1" ht="12.75" x14ac:dyDescent="0.2">
      <c r="A9" s="20"/>
      <c r="B9" s="21" t="s">
        <v>5</v>
      </c>
      <c r="C9" s="15">
        <v>21515507.210000001</v>
      </c>
      <c r="D9" s="15"/>
      <c r="E9" s="15">
        <f>4647040.03+1215672+144230+292490+131000+259260+195230+19649.58+1986880.33+1265520+1210988.85+1324558.99+1456700+1206970</f>
        <v>15356189.780000001</v>
      </c>
      <c r="F9" s="15"/>
      <c r="G9" s="27"/>
      <c r="H9" s="15">
        <f>25431167.6+600000+600000+6504722.88+9613875.45+5178167.15+2103234.52+1828117.43+384889.75</f>
        <v>52244174.780000001</v>
      </c>
      <c r="I9" s="15">
        <f>19267851.41+1000743.72+1053365.69+828298.2+774118.18+1101903.23+459815.32+326135.34+734434.47+894502.04+170000+216300+1177800+1177800+1444800+1641800+1723800+33230+1440510+1268402+169783.91+1241780+149166+1323780+158240+1107280+1210988.85+1357788.99+1423470+1206970+318254.55</f>
        <v>46403111.899999991</v>
      </c>
      <c r="J9" s="15">
        <f>H9-I9</f>
        <v>5841062.8800000101</v>
      </c>
      <c r="K9" s="27"/>
    </row>
    <row r="10" spans="1:11" s="32" customFormat="1" ht="13.5" thickBot="1" x14ac:dyDescent="0.25">
      <c r="A10" s="23"/>
      <c r="B10" s="24" t="s">
        <v>20</v>
      </c>
      <c r="C10" s="14">
        <f>64416.63+100000+66333.46+16.74</f>
        <v>230766.83000000002</v>
      </c>
      <c r="D10" s="14"/>
      <c r="E10" s="14">
        <f>13412.89+14939.54+16893.09+14457.06+0.13</f>
        <v>59702.71</v>
      </c>
      <c r="F10" s="14"/>
      <c r="G10" s="14"/>
      <c r="H10" s="14">
        <f>78300+80931.7+43852+7935.12+10000+16013.3+77570.66+37874.14</f>
        <v>352476.92000000004</v>
      </c>
      <c r="I10" s="14">
        <f>38000+5000+956.27+3659.93+2623.5+5480+9942+9942.82</f>
        <v>75604.51999999999</v>
      </c>
      <c r="J10" s="14">
        <f>H10-I10</f>
        <v>276872.40000000002</v>
      </c>
      <c r="K10" s="27"/>
    </row>
    <row r="11" spans="1:11" s="32" customFormat="1" ht="25.5" x14ac:dyDescent="0.2">
      <c r="A11" s="16">
        <v>3</v>
      </c>
      <c r="B11" s="17" t="s">
        <v>22</v>
      </c>
      <c r="C11" s="18"/>
      <c r="D11" s="18"/>
      <c r="E11" s="18"/>
      <c r="F11" s="18"/>
      <c r="G11" s="28"/>
      <c r="H11" s="18"/>
      <c r="I11" s="18"/>
      <c r="J11" s="18"/>
      <c r="K11" s="27"/>
    </row>
    <row r="12" spans="1:11" s="32" customFormat="1" ht="12.75" x14ac:dyDescent="0.2">
      <c r="A12" s="20"/>
      <c r="B12" s="21" t="s">
        <v>5</v>
      </c>
      <c r="C12" s="15">
        <f>65000000</f>
        <v>65000000</v>
      </c>
      <c r="D12" s="15">
        <f>28600392.13</f>
        <v>28600392.129999999</v>
      </c>
      <c r="E12" s="15">
        <f>28705992.08+4373656.61+875832.05+817174.14+1109218.21+503075.7</f>
        <v>36384948.789999999</v>
      </c>
      <c r="F12" s="15">
        <f>721.29+38902.45+59720.51+46473.47+50982.07+42881.9+36345.43+29953.97+28083.85+21789.62+16998.65+12337.92+7739.48+3168.12</f>
        <v>396098.72999999992</v>
      </c>
      <c r="G12" s="29">
        <f>9</f>
        <v>9</v>
      </c>
      <c r="H12" s="15">
        <f>548482+9933147+1774522</f>
        <v>12256151</v>
      </c>
      <c r="I12" s="15">
        <f>321120+1128480+381953+1402019+1232059+1486259.12+522089.84+718969.75+1387387.45+0.1+900674.45+804577.45+1059896.45+500665.39</f>
        <v>11846150.999999998</v>
      </c>
      <c r="J12" s="15">
        <f>H12-I12</f>
        <v>410000.00000000186</v>
      </c>
      <c r="K12" s="27"/>
    </row>
    <row r="13" spans="1:11" s="32" customFormat="1" ht="13.5" thickBot="1" x14ac:dyDescent="0.25">
      <c r="A13" s="23"/>
      <c r="B13" s="24" t="s">
        <v>20</v>
      </c>
      <c r="C13" s="14">
        <f>393248.74+18977.11+3137.05+2162.72+442.76+2131.06+258.81+10416.46+15491.54</f>
        <v>446266.24999999994</v>
      </c>
      <c r="D13" s="14">
        <f>100000+200000+150000</f>
        <v>450000</v>
      </c>
      <c r="E13" s="14">
        <f>9679.78+9127.2+12807.8+6081.09</f>
        <v>37695.870000000003</v>
      </c>
      <c r="F13" s="14"/>
      <c r="G13" s="14"/>
      <c r="H13" s="14"/>
      <c r="I13" s="14"/>
      <c r="J13" s="14">
        <f>H13-I13</f>
        <v>0</v>
      </c>
      <c r="K13" s="27"/>
    </row>
    <row r="14" spans="1:11" s="32" customFormat="1" ht="29.25" customHeight="1" thickBot="1" x14ac:dyDescent="0.25">
      <c r="A14" s="35">
        <v>4</v>
      </c>
      <c r="B14" s="36" t="s">
        <v>16</v>
      </c>
      <c r="C14" s="37">
        <f>25000000</f>
        <v>25000000</v>
      </c>
      <c r="D14" s="37">
        <v>24629237.530000001</v>
      </c>
      <c r="E14" s="37"/>
      <c r="F14" s="37">
        <f>1195681.89+311.86+822.79+317.09+8+312.33+2142.75+2553.43+4008.5+6982.74+7192.33+6303.01+5211.4+4607.13+3993.43+3372.68+2850.27+2815.29+2438.26+1443.29+538.07</f>
        <v>1253906.54</v>
      </c>
      <c r="G14" s="38">
        <v>30</v>
      </c>
      <c r="H14" s="37">
        <f>21663277.26+150000+415000+1200000</f>
        <v>23428277.260000002</v>
      </c>
      <c r="I14" s="37">
        <f>21466197.26+92480+104600+20000+35000+80000+125000+75000+100000+190000+180000+120000+120000+120000+40000+180000+180000+200000</f>
        <v>23428277.260000002</v>
      </c>
      <c r="J14" s="37">
        <f>H14-I14</f>
        <v>0</v>
      </c>
    </row>
    <row r="15" spans="1:11" s="32" customFormat="1" ht="26.25" thickBot="1" x14ac:dyDescent="0.25">
      <c r="A15" s="35">
        <v>5</v>
      </c>
      <c r="B15" s="36" t="s">
        <v>23</v>
      </c>
      <c r="C15" s="37">
        <v>10500000</v>
      </c>
      <c r="D15" s="37">
        <f>3551660+1454106.6</f>
        <v>5005766.5999999996</v>
      </c>
      <c r="E15" s="37"/>
      <c r="F15" s="39">
        <f>32226.82+410.93+500+1433.8+355.05</f>
        <v>34926.600000000006</v>
      </c>
      <c r="G15" s="38">
        <f>5913+9+67+66</f>
        <v>6055</v>
      </c>
      <c r="H15" s="37">
        <f>60445900+135000+955000+890000+435000</f>
        <v>62860900</v>
      </c>
      <c r="I15" s="37">
        <f>56613576.91+861281+813491.14+831351.16+852541.41</f>
        <v>59972241.61999999</v>
      </c>
      <c r="J15" s="37">
        <f>H15-I15</f>
        <v>2888658.3800000101</v>
      </c>
    </row>
    <row r="16" spans="1:11" s="32" customFormat="1" ht="12.75" x14ac:dyDescent="0.2">
      <c r="A16" s="40"/>
      <c r="B16" s="41" t="s">
        <v>4</v>
      </c>
      <c r="C16" s="42"/>
      <c r="D16" s="42"/>
      <c r="E16" s="42"/>
      <c r="F16" s="42"/>
      <c r="G16" s="43"/>
      <c r="H16" s="44"/>
      <c r="I16" s="44"/>
      <c r="J16" s="45"/>
    </row>
    <row r="17" spans="1:12" s="32" customFormat="1" ht="12.75" x14ac:dyDescent="0.2">
      <c r="A17" s="46"/>
      <c r="B17" s="21" t="s">
        <v>5</v>
      </c>
      <c r="C17" s="47"/>
      <c r="D17" s="47"/>
      <c r="E17" s="47"/>
      <c r="F17" s="47">
        <f>F6+F9+F12</f>
        <v>8206668.46</v>
      </c>
      <c r="G17" s="48"/>
      <c r="H17" s="47">
        <f>H6+H9+H12</f>
        <v>1253805424.0499997</v>
      </c>
      <c r="I17" s="47">
        <f>I6+I9+I12</f>
        <v>1065446236.9799997</v>
      </c>
      <c r="J17" s="47">
        <f>J6+J9+J12</f>
        <v>188359187.07000005</v>
      </c>
    </row>
    <row r="18" spans="1:12" s="32" customFormat="1" ht="12.75" x14ac:dyDescent="0.2">
      <c r="A18" s="46"/>
      <c r="B18" s="21" t="s">
        <v>20</v>
      </c>
      <c r="C18" s="47"/>
      <c r="D18" s="47"/>
      <c r="E18" s="47"/>
      <c r="F18" s="47">
        <f>F7+F10+F13</f>
        <v>0</v>
      </c>
      <c r="G18" s="48"/>
      <c r="H18" s="47">
        <f t="shared" ref="H18:I18" si="0">H7+H10+H13</f>
        <v>3674935.2800000003</v>
      </c>
      <c r="I18" s="47">
        <f t="shared" si="0"/>
        <v>513426.20999999996</v>
      </c>
      <c r="J18" s="47">
        <f>J7+J10+J13</f>
        <v>3161509.0700000003</v>
      </c>
    </row>
    <row r="19" spans="1:12" s="32" customFormat="1" ht="13.5" thickBot="1" x14ac:dyDescent="0.25">
      <c r="A19" s="49"/>
      <c r="B19" s="24" t="s">
        <v>6</v>
      </c>
      <c r="C19" s="50"/>
      <c r="D19" s="50"/>
      <c r="E19" s="50"/>
      <c r="F19" s="50">
        <f>F14+F15</f>
        <v>1288833.1400000001</v>
      </c>
      <c r="G19" s="51"/>
      <c r="H19" s="50">
        <f>H14+H15</f>
        <v>86289177.260000005</v>
      </c>
      <c r="I19" s="50">
        <f>I14+I15</f>
        <v>83400518.879999995</v>
      </c>
      <c r="J19" s="50">
        <f>J14+J15</f>
        <v>2888658.3800000101</v>
      </c>
    </row>
    <row r="20" spans="1:12" s="13" customFormat="1" ht="12.75" x14ac:dyDescent="0.2">
      <c r="A20" s="11"/>
      <c r="B20" s="4"/>
      <c r="C20" s="5"/>
      <c r="D20" s="5"/>
      <c r="E20" s="5"/>
      <c r="F20" s="6"/>
      <c r="G20" s="7"/>
      <c r="H20" s="9"/>
      <c r="I20" s="9"/>
      <c r="J20" s="9"/>
    </row>
    <row r="21" spans="1:12" ht="12.75" x14ac:dyDescent="0.2">
      <c r="A21" s="52"/>
      <c r="B21" s="56" t="s">
        <v>7</v>
      </c>
      <c r="C21" s="59"/>
      <c r="D21" s="59"/>
      <c r="E21" s="59"/>
      <c r="F21" s="60"/>
      <c r="G21" s="69">
        <f>G5+G8+G14+G12</f>
        <v>263</v>
      </c>
      <c r="H21" s="58"/>
      <c r="I21" s="58"/>
      <c r="J21" s="58"/>
      <c r="L21" s="8"/>
    </row>
    <row r="22" spans="1:12" ht="12.75" x14ac:dyDescent="0.2">
      <c r="A22" s="52">
        <v>1</v>
      </c>
      <c r="B22" s="73" t="s">
        <v>30</v>
      </c>
      <c r="C22" s="74"/>
      <c r="D22" s="74"/>
      <c r="E22" s="74"/>
      <c r="F22" s="75"/>
      <c r="G22" s="61">
        <v>22</v>
      </c>
      <c r="H22" s="62"/>
      <c r="I22" s="62"/>
      <c r="J22" s="62"/>
    </row>
    <row r="23" spans="1:12" ht="12.75" x14ac:dyDescent="0.2">
      <c r="A23" s="52"/>
      <c r="B23" s="53" t="s">
        <v>5</v>
      </c>
      <c r="C23" s="54"/>
      <c r="D23" s="54"/>
      <c r="E23" s="54"/>
      <c r="F23" s="55"/>
      <c r="G23" s="56">
        <v>20</v>
      </c>
      <c r="H23" s="57">
        <f>58449923.01-2418000+1984610.82+6199411.39+9255187.68+5890986.88+877579.91+1211951.7+17270361.31+19585145.25+14999421.67+5548652.86+3985029+18055820.2+591609.66</f>
        <v>161487691.34</v>
      </c>
      <c r="I23" s="57">
        <f>42800810.83+1015123.38+1123774.66+983896.79+2785082.2-1816625.73+3812662.57+2733733.23+1398961.22+4190366.04+4682562.35+4082056+6641040+4230520+5171120+4627120+3276520+5214920+5304647.85+3924720+2441207+3336072+1756922+914803+856706+947235+2569306</f>
        <v>119005262.38999999</v>
      </c>
      <c r="J23" s="58">
        <f>H23-I23</f>
        <v>42482428.950000018</v>
      </c>
    </row>
    <row r="24" spans="1:12" ht="12.75" x14ac:dyDescent="0.2">
      <c r="A24" s="52"/>
      <c r="B24" s="53" t="s">
        <v>20</v>
      </c>
      <c r="C24" s="54"/>
      <c r="D24" s="54"/>
      <c r="E24" s="54"/>
      <c r="F24" s="55"/>
      <c r="G24" s="56">
        <v>2</v>
      </c>
      <c r="H24" s="57">
        <v>34560</v>
      </c>
      <c r="I24" s="57">
        <f>17280+900+3900+508.25+91.75</f>
        <v>22680</v>
      </c>
      <c r="J24" s="58">
        <f>H24-I24</f>
        <v>11880</v>
      </c>
    </row>
    <row r="25" spans="1:12" ht="12.75" customHeight="1" x14ac:dyDescent="0.2">
      <c r="A25" s="52">
        <v>2</v>
      </c>
      <c r="B25" s="77" t="s">
        <v>8</v>
      </c>
      <c r="C25" s="78"/>
      <c r="D25" s="78"/>
      <c r="E25" s="78"/>
      <c r="F25" s="79"/>
      <c r="G25" s="61">
        <f>SUM(G26:G28)</f>
        <v>93</v>
      </c>
      <c r="H25" s="57"/>
      <c r="I25" s="57"/>
      <c r="J25" s="58"/>
    </row>
    <row r="26" spans="1:12" ht="12.75" x14ac:dyDescent="0.2">
      <c r="A26" s="52"/>
      <c r="B26" s="53" t="s">
        <v>5</v>
      </c>
      <c r="C26" s="54"/>
      <c r="D26" s="54"/>
      <c r="E26" s="54"/>
      <c r="F26" s="55"/>
      <c r="G26" s="56">
        <v>72</v>
      </c>
      <c r="H26" s="57">
        <f>257703711.45+12250000+21945037.42+5678000+8702733.44+22169564.56+14020800.95+80866057.96+20945995+5704776+34370479.57+7405240+575900.28</f>
        <v>492338296.62999994</v>
      </c>
      <c r="I26" s="57">
        <f>237077728.14+900174.21+2335437.19+2139090.27+1526219.62+4688703.21+878060+2062030+619869+8285793+10734563+6660860+8661414+17768325+8963718.54+6888022.79+15066684+18848548+11410956+6627628+9149595.75+12423146.73+5054222.25+6091423.13+8884159.25+13183168.75</f>
        <v>426929539.83000004</v>
      </c>
      <c r="J26" s="58">
        <f>H26-I26</f>
        <v>65408756.799999893</v>
      </c>
    </row>
    <row r="27" spans="1:12" ht="12.75" x14ac:dyDescent="0.2">
      <c r="A27" s="52"/>
      <c r="B27" s="53" t="s">
        <v>20</v>
      </c>
      <c r="C27" s="54"/>
      <c r="D27" s="54"/>
      <c r="E27" s="54"/>
      <c r="F27" s="55"/>
      <c r="G27" s="56">
        <f>10+4+1+1</f>
        <v>16</v>
      </c>
      <c r="H27" s="57">
        <f>253674.59+197362.5+311490+19352.05+513081.07+302547.12+394040.24</f>
        <v>1991547.57</v>
      </c>
      <c r="I27" s="57">
        <f>1158+2640+17489+23274+5074+16224+139699.05</f>
        <v>205558.05</v>
      </c>
      <c r="J27" s="58">
        <f>H27-I27</f>
        <v>1785989.52</v>
      </c>
    </row>
    <row r="28" spans="1:12" ht="12.75" x14ac:dyDescent="0.2">
      <c r="A28" s="52"/>
      <c r="B28" s="53" t="s">
        <v>6</v>
      </c>
      <c r="C28" s="54"/>
      <c r="D28" s="54"/>
      <c r="E28" s="54"/>
      <c r="F28" s="55"/>
      <c r="G28" s="56">
        <v>5</v>
      </c>
      <c r="H28" s="57">
        <v>4231882.26</v>
      </c>
      <c r="I28" s="57">
        <v>4231882.26</v>
      </c>
      <c r="J28" s="58">
        <f>H28-I28</f>
        <v>0</v>
      </c>
    </row>
    <row r="29" spans="1:12" ht="12.75" customHeight="1" x14ac:dyDescent="0.2">
      <c r="A29" s="52">
        <v>3</v>
      </c>
      <c r="B29" s="73" t="s">
        <v>31</v>
      </c>
      <c r="C29" s="74"/>
      <c r="D29" s="74"/>
      <c r="E29" s="74"/>
      <c r="F29" s="75"/>
      <c r="G29" s="61">
        <v>11</v>
      </c>
      <c r="H29" s="57">
        <f>62084259.58+19179731.91+820268.09+20000000-0.04</f>
        <v>102084259.53999999</v>
      </c>
      <c r="I29" s="57">
        <f>36456687.2+1686814+740222.97+386482+440741+2123265.64+109683.93+44015.59+122221+21221573.62+4500000+1111110+5611308.01+1111110+1111110+1111110+5611110+1111110+444444+111111+4611111+111111+1930131.58+1711110+1711110</f>
        <v>95239803.540000007</v>
      </c>
      <c r="J29" s="58">
        <f>H29-I29</f>
        <v>6844455.9999999851</v>
      </c>
    </row>
    <row r="30" spans="1:12" ht="12.75" x14ac:dyDescent="0.2">
      <c r="A30" s="52">
        <v>4</v>
      </c>
      <c r="B30" s="73" t="s">
        <v>25</v>
      </c>
      <c r="C30" s="74"/>
      <c r="D30" s="74"/>
      <c r="E30" s="74"/>
      <c r="F30" s="75"/>
      <c r="G30" s="61">
        <f>SUM(G31:G32)</f>
        <v>28</v>
      </c>
      <c r="H30" s="63"/>
      <c r="I30" s="63"/>
      <c r="J30" s="63"/>
    </row>
    <row r="31" spans="1:12" ht="12.75" x14ac:dyDescent="0.2">
      <c r="A31" s="52"/>
      <c r="B31" s="53" t="s">
        <v>5</v>
      </c>
      <c r="C31" s="54"/>
      <c r="D31" s="54"/>
      <c r="E31" s="54"/>
      <c r="F31" s="55"/>
      <c r="G31" s="56">
        <v>24</v>
      </c>
      <c r="H31" s="57">
        <f>87782890+4292334+744574.9+101224+1645100-0.01</f>
        <v>94566122.890000001</v>
      </c>
      <c r="I31" s="57">
        <f>67244328.17+382513+120041.37+160234+60234+280708+166928+33464+8693927.24+33467+2039703.23+101223+115094.92+4292335+328690.29+1139591.27+745070.9+641899.33+42421+887018.97-0.01+149628.96+344530.69+144986+144986+318254.55</f>
        <v>88611278.879999995</v>
      </c>
      <c r="J31" s="58">
        <f>H31-I31</f>
        <v>5954844.0100000054</v>
      </c>
    </row>
    <row r="32" spans="1:12" ht="12.75" x14ac:dyDescent="0.2">
      <c r="A32" s="52"/>
      <c r="B32" s="53" t="s">
        <v>20</v>
      </c>
      <c r="C32" s="54"/>
      <c r="D32" s="54"/>
      <c r="E32" s="54"/>
      <c r="F32" s="55"/>
      <c r="G32" s="56">
        <f>3+1</f>
        <v>4</v>
      </c>
      <c r="H32" s="57">
        <f>182589.85+10245.8+12157.2+6517.67</f>
        <v>211510.52000000002</v>
      </c>
      <c r="I32" s="57">
        <f>4405+4875+1930+2520+11920</f>
        <v>25650</v>
      </c>
      <c r="J32" s="58">
        <f>H32-I32</f>
        <v>185860.52000000002</v>
      </c>
    </row>
    <row r="33" spans="1:10" ht="12.75" customHeight="1" x14ac:dyDescent="0.2">
      <c r="A33" s="52">
        <v>5</v>
      </c>
      <c r="B33" s="73" t="s">
        <v>24</v>
      </c>
      <c r="C33" s="74"/>
      <c r="D33" s="74"/>
      <c r="E33" s="74"/>
      <c r="F33" s="75"/>
      <c r="G33" s="61">
        <f>SUM(G34:G36)</f>
        <v>24</v>
      </c>
      <c r="H33" s="57"/>
      <c r="I33" s="57"/>
      <c r="J33" s="58"/>
    </row>
    <row r="34" spans="1:10" ht="12.75" x14ac:dyDescent="0.2">
      <c r="A34" s="52"/>
      <c r="B34" s="53" t="s">
        <v>5</v>
      </c>
      <c r="C34" s="54"/>
      <c r="D34" s="54"/>
      <c r="E34" s="54"/>
      <c r="F34" s="55"/>
      <c r="G34" s="56">
        <v>18</v>
      </c>
      <c r="H34" s="57">
        <f>139991471.93+4033676.12+684477+2883425.33+38563189.74+8548592.21+3008757.57+0.7</f>
        <v>197713590.60000002</v>
      </c>
      <c r="I34" s="57">
        <f>68884737.41+3571600+1769300+3402618.63+4696700+5663368+5006295.67+6646855.91+6009220.83+7044433+1+4721239.85+5174818.99+6184600+6841050</f>
        <v>135616839.28999996</v>
      </c>
      <c r="J34" s="58">
        <f>H34-I34</f>
        <v>62096751.310000062</v>
      </c>
    </row>
    <row r="35" spans="1:10" ht="12.75" x14ac:dyDescent="0.2">
      <c r="A35" s="52"/>
      <c r="B35" s="53" t="s">
        <v>20</v>
      </c>
      <c r="C35" s="54"/>
      <c r="D35" s="54"/>
      <c r="E35" s="54"/>
      <c r="F35" s="55"/>
      <c r="G35" s="56">
        <f>2+1+1</f>
        <v>4</v>
      </c>
      <c r="H35" s="57">
        <f>34871.06+337968.94+51750+122404.7</f>
        <v>546994.69999999995</v>
      </c>
      <c r="I35" s="57">
        <f>8000+10700+3635+1905+1905+1205+10660+20129</f>
        <v>58139</v>
      </c>
      <c r="J35" s="58">
        <f>H35-I35</f>
        <v>488855.69999999995</v>
      </c>
    </row>
    <row r="36" spans="1:10" ht="12.75" x14ac:dyDescent="0.2">
      <c r="A36" s="52"/>
      <c r="B36" s="53" t="s">
        <v>6</v>
      </c>
      <c r="C36" s="54"/>
      <c r="D36" s="54"/>
      <c r="E36" s="54"/>
      <c r="F36" s="55"/>
      <c r="G36" s="56">
        <v>2</v>
      </c>
      <c r="H36" s="57">
        <v>2008000</v>
      </c>
      <c r="I36" s="57">
        <f>1200000+2479.34+400000+405520.66</f>
        <v>2008000</v>
      </c>
      <c r="J36" s="58">
        <f>H36-I36</f>
        <v>0</v>
      </c>
    </row>
    <row r="37" spans="1:10" ht="12.75" x14ac:dyDescent="0.2">
      <c r="A37" s="52">
        <v>6</v>
      </c>
      <c r="B37" s="73" t="s">
        <v>32</v>
      </c>
      <c r="C37" s="74"/>
      <c r="D37" s="74"/>
      <c r="E37" s="74"/>
      <c r="F37" s="75"/>
      <c r="G37" s="64">
        <f>SUM(G38:G39)</f>
        <v>20</v>
      </c>
      <c r="H37" s="63"/>
      <c r="I37" s="63"/>
      <c r="J37" s="63"/>
    </row>
    <row r="38" spans="1:10" ht="12.75" x14ac:dyDescent="0.2">
      <c r="A38" s="52"/>
      <c r="B38" s="53" t="s">
        <v>5</v>
      </c>
      <c r="C38" s="54"/>
      <c r="D38" s="54"/>
      <c r="E38" s="54"/>
      <c r="F38" s="55"/>
      <c r="G38" s="56">
        <v>13</v>
      </c>
      <c r="H38" s="57">
        <f>107761329+11469569.93</f>
        <v>119230898.93000001</v>
      </c>
      <c r="I38" s="57">
        <f>79002285.78+6392703.55+1353480+1529740+1814220+13492039.67+1953960+1452000+876000+976000+776000+853000+1050000+1200000+560279.32+600000+1150000+1400000+1049899.99+1050000+600000+99290.62</f>
        <v>119230898.92999999</v>
      </c>
      <c r="J38" s="58">
        <f>H38-I38</f>
        <v>0</v>
      </c>
    </row>
    <row r="39" spans="1:10" ht="12.75" x14ac:dyDescent="0.2">
      <c r="A39" s="52"/>
      <c r="B39" s="53" t="s">
        <v>20</v>
      </c>
      <c r="C39" s="54"/>
      <c r="D39" s="54"/>
      <c r="E39" s="54"/>
      <c r="F39" s="55"/>
      <c r="G39" s="56">
        <f>3+2+2</f>
        <v>7</v>
      </c>
      <c r="H39" s="57">
        <f>15094+241104+191173.4+90474.17</f>
        <v>537845.57000000007</v>
      </c>
      <c r="I39" s="57">
        <f>760+760+1626.47+5820+9524+107304.17</f>
        <v>125794.64</v>
      </c>
      <c r="J39" s="58">
        <f>H39-I39</f>
        <v>412050.93000000005</v>
      </c>
    </row>
    <row r="40" spans="1:10" ht="28.5" customHeight="1" x14ac:dyDescent="0.2">
      <c r="A40" s="52">
        <v>7</v>
      </c>
      <c r="B40" s="73" t="s">
        <v>9</v>
      </c>
      <c r="C40" s="74"/>
      <c r="D40" s="74"/>
      <c r="E40" s="74"/>
      <c r="F40" s="75"/>
      <c r="G40" s="61">
        <f>SUM(G41:G43)</f>
        <v>42</v>
      </c>
      <c r="H40" s="57"/>
      <c r="I40" s="57"/>
      <c r="J40" s="58"/>
    </row>
    <row r="41" spans="1:10" ht="12.75" x14ac:dyDescent="0.2">
      <c r="A41" s="52"/>
      <c r="B41" s="53" t="s">
        <v>5</v>
      </c>
      <c r="C41" s="54"/>
      <c r="D41" s="54"/>
      <c r="E41" s="54"/>
      <c r="F41" s="55"/>
      <c r="G41" s="56">
        <v>27</v>
      </c>
      <c r="H41" s="57">
        <f>81784467.6+2645574.52</f>
        <v>84430042.11999999</v>
      </c>
      <c r="I41" s="57">
        <f>61861802.12+1177800+1444800+1661800+1783800+1500510+1104780+1301780+1383780+1167280+1104780+1301780+1366120+1107280</f>
        <v>79268092.120000005</v>
      </c>
      <c r="J41" s="58">
        <f>H41-I41</f>
        <v>5161949.9999999851</v>
      </c>
    </row>
    <row r="42" spans="1:10" ht="12.75" x14ac:dyDescent="0.2">
      <c r="A42" s="52"/>
      <c r="B42" s="53" t="s">
        <v>6</v>
      </c>
      <c r="C42" s="54"/>
      <c r="D42" s="54"/>
      <c r="E42" s="54"/>
      <c r="F42" s="55"/>
      <c r="G42" s="56">
        <v>12</v>
      </c>
      <c r="H42" s="57">
        <v>8262640</v>
      </c>
      <c r="I42" s="57">
        <f>8065560+92480+104600</f>
        <v>8262640</v>
      </c>
      <c r="J42" s="58">
        <f>H42-I42</f>
        <v>0</v>
      </c>
    </row>
    <row r="43" spans="1:10" ht="12.75" x14ac:dyDescent="0.2">
      <c r="A43" s="52"/>
      <c r="B43" s="53" t="s">
        <v>20</v>
      </c>
      <c r="C43" s="54"/>
      <c r="D43" s="54"/>
      <c r="E43" s="54"/>
      <c r="F43" s="55"/>
      <c r="G43" s="56">
        <f>1+1+1</f>
        <v>3</v>
      </c>
      <c r="H43" s="57">
        <f>7935.12+10000+16013.3</f>
        <v>33948.42</v>
      </c>
      <c r="I43" s="57">
        <f>1026+2391+2391+2391.82</f>
        <v>8199.82</v>
      </c>
      <c r="J43" s="58">
        <f>H43-I43</f>
        <v>25748.6</v>
      </c>
    </row>
    <row r="44" spans="1:10" ht="12.75" customHeight="1" x14ac:dyDescent="0.2">
      <c r="A44" s="52">
        <v>8</v>
      </c>
      <c r="B44" s="73" t="s">
        <v>33</v>
      </c>
      <c r="C44" s="74"/>
      <c r="D44" s="74"/>
      <c r="E44" s="74"/>
      <c r="F44" s="75"/>
      <c r="G44" s="61">
        <v>3</v>
      </c>
      <c r="H44" s="57">
        <v>3679525</v>
      </c>
      <c r="I44" s="57">
        <f>3135858+300000+243667</f>
        <v>3679525</v>
      </c>
      <c r="J44" s="58">
        <f>H44-I44</f>
        <v>0</v>
      </c>
    </row>
    <row r="45" spans="1:10" ht="12.75" x14ac:dyDescent="0.2">
      <c r="A45" s="52">
        <v>9</v>
      </c>
      <c r="B45" s="73" t="s">
        <v>10</v>
      </c>
      <c r="C45" s="74"/>
      <c r="D45" s="74"/>
      <c r="E45" s="74"/>
      <c r="F45" s="75"/>
      <c r="G45" s="61">
        <f>SUM(G46:G47)</f>
        <v>4</v>
      </c>
      <c r="H45" s="57"/>
      <c r="I45" s="57"/>
      <c r="J45" s="58"/>
    </row>
    <row r="46" spans="1:10" ht="12.75" x14ac:dyDescent="0.2">
      <c r="A46" s="52"/>
      <c r="B46" s="53" t="s">
        <v>5</v>
      </c>
      <c r="C46" s="54"/>
      <c r="D46" s="54"/>
      <c r="E46" s="54"/>
      <c r="F46" s="55"/>
      <c r="G46" s="56">
        <v>2</v>
      </c>
      <c r="H46" s="57">
        <v>180000</v>
      </c>
      <c r="I46" s="57">
        <v>180000</v>
      </c>
      <c r="J46" s="58">
        <f>H46-I46</f>
        <v>0</v>
      </c>
    </row>
    <row r="47" spans="1:10" ht="12.75" x14ac:dyDescent="0.2">
      <c r="A47" s="52"/>
      <c r="B47" s="53" t="s">
        <v>6</v>
      </c>
      <c r="C47" s="54"/>
      <c r="D47" s="54"/>
      <c r="E47" s="54"/>
      <c r="F47" s="55"/>
      <c r="G47" s="56">
        <v>2</v>
      </c>
      <c r="H47" s="57">
        <v>738750</v>
      </c>
      <c r="I47" s="57">
        <f>618376.13+20845+20845+20845+20845+36993.87</f>
        <v>738750</v>
      </c>
      <c r="J47" s="58">
        <f>H47-I47</f>
        <v>0</v>
      </c>
    </row>
    <row r="48" spans="1:10" ht="12.75" customHeight="1" x14ac:dyDescent="0.2">
      <c r="A48" s="52">
        <v>10</v>
      </c>
      <c r="B48" s="73" t="s">
        <v>17</v>
      </c>
      <c r="C48" s="74"/>
      <c r="D48" s="74"/>
      <c r="E48" s="74"/>
      <c r="F48" s="75"/>
      <c r="G48" s="61">
        <f>SUM(G49:G51)</f>
        <v>7</v>
      </c>
      <c r="H48" s="65"/>
      <c r="I48" s="65"/>
      <c r="J48" s="63"/>
    </row>
    <row r="49" spans="1:10" ht="12.75" customHeight="1" x14ac:dyDescent="0.2">
      <c r="A49" s="52"/>
      <c r="B49" s="53" t="s">
        <v>18</v>
      </c>
      <c r="C49" s="54"/>
      <c r="D49" s="54"/>
      <c r="E49" s="54"/>
      <c r="F49" s="55"/>
      <c r="G49" s="56">
        <v>1</v>
      </c>
      <c r="H49" s="57">
        <v>1200000</v>
      </c>
      <c r="I49" s="57">
        <f>40000+120000+120000+120000+120000+120000+150000</f>
        <v>790000</v>
      </c>
      <c r="J49" s="58">
        <f t="shared" ref="J49:J56" si="1">H49-I49</f>
        <v>410000</v>
      </c>
    </row>
    <row r="50" spans="1:10" ht="12.75" customHeight="1" x14ac:dyDescent="0.2">
      <c r="A50" s="52"/>
      <c r="B50" s="53" t="s">
        <v>6</v>
      </c>
      <c r="C50" s="54"/>
      <c r="D50" s="54"/>
      <c r="E50" s="54"/>
      <c r="F50" s="55"/>
      <c r="G50" s="56">
        <v>4</v>
      </c>
      <c r="H50" s="57">
        <f>1692480+150000+415000</f>
        <v>2257480</v>
      </c>
      <c r="I50" s="57">
        <f>1638636+19800+20850+13194+20000+35000+80000+125000+75000+100000+70000+60000</f>
        <v>2257480</v>
      </c>
      <c r="J50" s="58">
        <f t="shared" si="1"/>
        <v>0</v>
      </c>
    </row>
    <row r="51" spans="1:10" ht="12.75" customHeight="1" x14ac:dyDescent="0.2">
      <c r="A51" s="52"/>
      <c r="B51" s="53" t="s">
        <v>20</v>
      </c>
      <c r="C51" s="54"/>
      <c r="D51" s="54"/>
      <c r="E51" s="54"/>
      <c r="F51" s="55"/>
      <c r="G51" s="56">
        <f>1+1</f>
        <v>2</v>
      </c>
      <c r="H51" s="57">
        <f>76148+43852+77570.56+37874.14</f>
        <v>235444.7</v>
      </c>
      <c r="I51" s="57">
        <f>572+858+3089+7551+7551</f>
        <v>19621</v>
      </c>
      <c r="J51" s="58">
        <f t="shared" si="1"/>
        <v>215823.7</v>
      </c>
    </row>
    <row r="52" spans="1:10" ht="12.75" x14ac:dyDescent="0.2">
      <c r="A52" s="52">
        <v>11</v>
      </c>
      <c r="B52" s="73" t="s">
        <v>34</v>
      </c>
      <c r="C52" s="74"/>
      <c r="D52" s="74"/>
      <c r="E52" s="74"/>
      <c r="F52" s="75"/>
      <c r="G52" s="61">
        <v>1</v>
      </c>
      <c r="H52" s="57">
        <v>1050000</v>
      </c>
      <c r="I52" s="57">
        <f>875000.7+29166.69+29166.69+29166.69+29166.69+58332.54</f>
        <v>1049999.9999999998</v>
      </c>
      <c r="J52" s="58">
        <f t="shared" si="1"/>
        <v>0</v>
      </c>
    </row>
    <row r="53" spans="1:10" ht="12.75" x14ac:dyDescent="0.2">
      <c r="A53" s="52">
        <v>12</v>
      </c>
      <c r="B53" s="73" t="s">
        <v>35</v>
      </c>
      <c r="C53" s="74"/>
      <c r="D53" s="74"/>
      <c r="E53" s="74"/>
      <c r="F53" s="75"/>
      <c r="G53" s="61">
        <v>1</v>
      </c>
      <c r="H53" s="57">
        <v>1200000</v>
      </c>
      <c r="I53" s="57">
        <f>120000+120000+120000+120000+120000+40000+180000+180000+200000</f>
        <v>1200000</v>
      </c>
      <c r="J53" s="58">
        <f t="shared" si="1"/>
        <v>0</v>
      </c>
    </row>
    <row r="54" spans="1:10" ht="12.75" x14ac:dyDescent="0.2">
      <c r="A54" s="52">
        <v>13</v>
      </c>
      <c r="B54" s="81" t="s">
        <v>38</v>
      </c>
      <c r="C54" s="81"/>
      <c r="D54" s="81"/>
      <c r="E54" s="81"/>
      <c r="F54" s="81"/>
      <c r="G54" s="64">
        <v>1</v>
      </c>
      <c r="H54" s="57">
        <v>574522</v>
      </c>
      <c r="I54" s="57">
        <f>17953+53859+53859+53859.12+17954.94+53859+53859+53859+53859+83254+78346.94</f>
        <v>574522</v>
      </c>
      <c r="J54" s="58">
        <f t="shared" si="1"/>
        <v>0</v>
      </c>
    </row>
    <row r="55" spans="1:10" ht="12.75" x14ac:dyDescent="0.2">
      <c r="A55" s="52">
        <v>14</v>
      </c>
      <c r="B55" s="81" t="s">
        <v>36</v>
      </c>
      <c r="C55" s="81"/>
      <c r="D55" s="81"/>
      <c r="E55" s="81"/>
      <c r="F55" s="81"/>
      <c r="G55" s="64">
        <v>1</v>
      </c>
      <c r="H55" s="57">
        <v>78300</v>
      </c>
      <c r="I55" s="57">
        <f>38000+5000</f>
        <v>43000</v>
      </c>
      <c r="J55" s="58">
        <f t="shared" si="1"/>
        <v>35300</v>
      </c>
    </row>
    <row r="56" spans="1:10" ht="13.5" thickBot="1" x14ac:dyDescent="0.25">
      <c r="A56" s="66">
        <v>15</v>
      </c>
      <c r="B56" s="82" t="s">
        <v>37</v>
      </c>
      <c r="C56" s="83"/>
      <c r="D56" s="83"/>
      <c r="E56" s="83"/>
      <c r="F56" s="84"/>
      <c r="G56" s="70">
        <v>5</v>
      </c>
      <c r="H56" s="67">
        <v>4783.7</v>
      </c>
      <c r="I56" s="67">
        <f>956.27+3087.93+739.5</f>
        <v>4783.7</v>
      </c>
      <c r="J56" s="68">
        <f t="shared" si="1"/>
        <v>0</v>
      </c>
    </row>
    <row r="57" spans="1:10" s="13" customFormat="1" ht="14.25" customHeight="1" x14ac:dyDescent="0.2">
      <c r="A57" s="85"/>
      <c r="B57" s="85"/>
      <c r="C57" s="85"/>
      <c r="D57" s="85"/>
      <c r="E57" s="85"/>
      <c r="F57" s="85"/>
      <c r="G57" s="85"/>
      <c r="H57" s="85"/>
      <c r="I57" s="85"/>
      <c r="J57" s="85"/>
    </row>
    <row r="58" spans="1:10" s="3" customFormat="1" ht="12.75" x14ac:dyDescent="0.2">
      <c r="A58" s="80" t="s">
        <v>15</v>
      </c>
      <c r="B58" s="80"/>
      <c r="C58" s="80"/>
      <c r="D58" s="80"/>
      <c r="E58" s="80"/>
      <c r="F58" s="80"/>
      <c r="G58" s="80"/>
      <c r="H58" s="80"/>
      <c r="I58" s="80"/>
      <c r="J58" s="80"/>
    </row>
    <row r="60" spans="1:10" ht="12.75" x14ac:dyDescent="0.2">
      <c r="A60" s="10"/>
      <c r="B60" s="10"/>
      <c r="C60" s="10"/>
      <c r="D60" s="10"/>
      <c r="E60" s="10"/>
      <c r="G60" s="12"/>
      <c r="H60" s="34" t="s">
        <v>39</v>
      </c>
      <c r="I60" s="8">
        <f>J23+J26+J31+J34+J38+J41+J38+J46+J49+J54+J29</f>
        <v>188359187.06999999</v>
      </c>
      <c r="J60" s="71" t="s">
        <v>40</v>
      </c>
    </row>
    <row r="61" spans="1:10" x14ac:dyDescent="0.2">
      <c r="I61" s="8">
        <f>J24+J27+J32+J35+J39+J43+J51+J55</f>
        <v>3161508.9700000007</v>
      </c>
      <c r="J61" s="72" t="s">
        <v>20</v>
      </c>
    </row>
  </sheetData>
  <mergeCells count="18">
    <mergeCell ref="A58:J58"/>
    <mergeCell ref="B52:F52"/>
    <mergeCell ref="B53:F53"/>
    <mergeCell ref="B54:F54"/>
    <mergeCell ref="B55:F55"/>
    <mergeCell ref="B56:F56"/>
    <mergeCell ref="A57:J57"/>
    <mergeCell ref="B48:F48"/>
    <mergeCell ref="A2:J3"/>
    <mergeCell ref="B22:F22"/>
    <mergeCell ref="B25:F25"/>
    <mergeCell ref="B29:F29"/>
    <mergeCell ref="B30:F30"/>
    <mergeCell ref="B33:F33"/>
    <mergeCell ref="B37:F37"/>
    <mergeCell ref="B40:F40"/>
    <mergeCell ref="B44:F44"/>
    <mergeCell ref="B45:F45"/>
  </mergeCells>
  <pageMargins left="0.23622047244094491" right="0.23622047244094491" top="0.15748031496062992" bottom="0.15748031496062992" header="0" footer="0"/>
  <pageSetup paperSize="9" scale="99" orientation="landscape" verticalDpi="0" r:id="rId1"/>
  <rowBreaks count="1" manualBreakCount="1">
    <brk id="32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2021г</vt:lpstr>
      <vt:lpstr>'2021г'!Заголовки_для_печати</vt:lpstr>
      <vt:lpstr>'2021г'!Область_печати</vt:lpstr>
    </vt:vector>
  </TitlesOfParts>
  <Company>CtrlSoft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fgr13</dc:creator>
  <cp:lastModifiedBy>Маргарита Смиричинская</cp:lastModifiedBy>
  <cp:lastPrinted>2022-02-01T13:30:51Z</cp:lastPrinted>
  <dcterms:created xsi:type="dcterms:W3CDTF">2014-06-10T07:42:47Z</dcterms:created>
  <dcterms:modified xsi:type="dcterms:W3CDTF">2022-03-01T07:04:37Z</dcterms:modified>
</cp:coreProperties>
</file>