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FGR19\Desktop\1. Отчет Фонда за 2022г на САЙТ\"/>
    </mc:Choice>
  </mc:AlternateContent>
  <bookViews>
    <workbookView xWindow="-15" yWindow="4890" windowWidth="21630" windowHeight="4950"/>
  </bookViews>
  <sheets>
    <sheet name="на 31.12.22г" sheetId="3" r:id="rId1"/>
  </sheets>
  <definedNames>
    <definedName name="_xlnm.Print_Titles" localSheetId="0">'на 31.12.22г'!$4:$4</definedName>
    <definedName name="_xlnm.Print_Area" localSheetId="0">'на 31.12.22г'!$A$1:$K$61</definedName>
  </definedNames>
  <calcPr calcId="152511" refMode="R1C1"/>
</workbook>
</file>

<file path=xl/calcChain.xml><?xml version="1.0" encoding="utf-8"?>
<calcChain xmlns="http://schemas.openxmlformats.org/spreadsheetml/2006/main">
  <c r="H18" i="3" l="1"/>
  <c r="F8" i="3" l="1"/>
  <c r="E6" i="3"/>
  <c r="G18" i="3"/>
  <c r="J18" i="3"/>
  <c r="I18" i="3"/>
  <c r="F12" i="3"/>
  <c r="E10" i="3"/>
  <c r="J10" i="3"/>
  <c r="J6" i="3"/>
  <c r="E11" i="3"/>
  <c r="F11" i="3"/>
  <c r="J11" i="3"/>
  <c r="E7" i="3"/>
  <c r="F7" i="3"/>
  <c r="J7" i="3"/>
  <c r="J35" i="3"/>
  <c r="J34" i="3"/>
  <c r="J46" i="3"/>
  <c r="J44" i="3"/>
  <c r="J38" i="3"/>
  <c r="J37" i="3"/>
  <c r="J30" i="3"/>
  <c r="J29" i="3"/>
  <c r="J54" i="3"/>
  <c r="J42" i="3"/>
  <c r="J32" i="3"/>
  <c r="J27" i="3"/>
  <c r="J26" i="3"/>
  <c r="I42" i="3"/>
  <c r="H42" i="3"/>
  <c r="H5" i="3"/>
  <c r="I7" i="3"/>
  <c r="F16" i="3" l="1"/>
  <c r="I38" i="3" l="1"/>
  <c r="J58" i="3"/>
  <c r="I30" i="3"/>
  <c r="I35" i="3" l="1"/>
  <c r="H30" i="3"/>
  <c r="H28" i="3" s="1"/>
  <c r="H9" i="3" l="1"/>
  <c r="H38" i="3"/>
  <c r="H46" i="3"/>
  <c r="H43" i="3" s="1"/>
  <c r="I46" i="3"/>
  <c r="J52" i="3"/>
  <c r="E15" i="3"/>
  <c r="I11" i="3"/>
  <c r="G14" i="3" l="1"/>
  <c r="E14" i="3"/>
  <c r="J14" i="3"/>
  <c r="I6" i="3"/>
  <c r="K6" i="3" s="1"/>
  <c r="J57" i="3" l="1"/>
  <c r="I54" i="3"/>
  <c r="J41" i="3"/>
  <c r="K11" i="3" l="1"/>
  <c r="K18" i="3" l="1"/>
  <c r="H54" i="3" l="1"/>
  <c r="G6" i="3" l="1"/>
  <c r="D15" i="3" l="1"/>
  <c r="C15" i="3"/>
  <c r="D14" i="3"/>
  <c r="D18" i="3" l="1"/>
  <c r="I26" i="3" l="1"/>
  <c r="J56" i="3" l="1"/>
  <c r="G21" i="3" l="1"/>
  <c r="H51" i="3"/>
  <c r="H48" i="3"/>
  <c r="H36" i="3" l="1"/>
  <c r="C7" i="3" l="1"/>
  <c r="I14" i="3"/>
  <c r="K14" i="3" s="1"/>
  <c r="C11" i="3"/>
  <c r="G17" i="3" l="1"/>
  <c r="J17" i="3"/>
  <c r="G20" i="3" l="1"/>
  <c r="D6" i="3"/>
  <c r="H14" i="3" l="1"/>
  <c r="H24" i="3" s="1"/>
  <c r="H35" i="3" l="1"/>
  <c r="H33" i="3" s="1"/>
  <c r="K46" i="3"/>
  <c r="H40" i="3"/>
  <c r="J59" i="3"/>
  <c r="K59" i="3" s="1"/>
  <c r="J22" i="3"/>
  <c r="J21" i="3"/>
  <c r="K7" i="3"/>
  <c r="K57" i="3"/>
  <c r="K56" i="3"/>
  <c r="J55" i="3"/>
  <c r="K55" i="3" s="1"/>
  <c r="J53" i="3"/>
  <c r="I53" i="3"/>
  <c r="K52" i="3"/>
  <c r="J50" i="3"/>
  <c r="K50" i="3" s="1"/>
  <c r="K49" i="3"/>
  <c r="J47" i="3"/>
  <c r="K47" i="3" s="1"/>
  <c r="J45" i="3"/>
  <c r="K45" i="3" s="1"/>
  <c r="I44" i="3"/>
  <c r="K42" i="3"/>
  <c r="I41" i="3"/>
  <c r="J39" i="3"/>
  <c r="K38" i="3"/>
  <c r="I37" i="3"/>
  <c r="I34" i="3"/>
  <c r="I32" i="3"/>
  <c r="K31" i="3"/>
  <c r="I29" i="3"/>
  <c r="K27" i="3"/>
  <c r="K26" i="3"/>
  <c r="I21" i="3"/>
  <c r="I17" i="3"/>
  <c r="I22" i="3" s="1"/>
  <c r="C17" i="3"/>
  <c r="K15" i="3"/>
  <c r="J20" i="3"/>
  <c r="C14" i="3"/>
  <c r="I10" i="3"/>
  <c r="C6" i="3"/>
  <c r="K10" i="3" l="1"/>
  <c r="I20" i="3"/>
  <c r="K21" i="3"/>
  <c r="K54" i="3"/>
  <c r="K58" i="3"/>
  <c r="K39" i="3"/>
  <c r="K53" i="3"/>
  <c r="K30" i="3"/>
  <c r="K32" i="3"/>
  <c r="K41" i="3"/>
  <c r="K34" i="3"/>
  <c r="K35" i="3"/>
  <c r="K44" i="3"/>
  <c r="K37" i="3"/>
  <c r="K29" i="3"/>
  <c r="G22" i="3"/>
  <c r="K20" i="3"/>
  <c r="K17" i="3"/>
  <c r="K22" i="3" s="1"/>
</calcChain>
</file>

<file path=xl/comments1.xml><?xml version="1.0" encoding="utf-8"?>
<comments xmlns="http://schemas.openxmlformats.org/spreadsheetml/2006/main">
  <authors>
    <author>Маргарита Смиричинская</author>
  </authors>
  <commentList>
    <comment ref="B5" authorId="0" shapeId="0">
      <text>
        <r>
          <rPr>
            <b/>
            <sz val="9"/>
            <color indexed="81"/>
            <rFont val="Tahoma"/>
            <family val="2"/>
            <charset val="204"/>
          </rPr>
          <t>Маргарита Смиричинская:</t>
        </r>
        <r>
          <rPr>
            <sz val="9"/>
            <color indexed="81"/>
            <rFont val="Tahoma"/>
            <family val="2"/>
            <charset val="204"/>
          </rPr>
          <t xml:space="preserve">
сч №21870064300700</t>
        </r>
      </text>
    </comment>
    <comment ref="B9" authorId="0" shapeId="0">
      <text>
        <r>
          <rPr>
            <b/>
            <sz val="9"/>
            <color indexed="81"/>
            <rFont val="Tahoma"/>
            <family val="2"/>
            <charset val="204"/>
          </rPr>
          <t>Маргарита Смиричинская:</t>
        </r>
        <r>
          <rPr>
            <sz val="9"/>
            <color indexed="81"/>
            <rFont val="Tahoma"/>
            <family val="2"/>
            <charset val="204"/>
          </rPr>
          <t xml:space="preserve">
сч№ 21870064300500</t>
        </r>
      </text>
    </comment>
    <comment ref="B13" authorId="0" shapeId="0">
      <text>
        <r>
          <rPr>
            <b/>
            <sz val="9"/>
            <color indexed="81"/>
            <rFont val="Tahoma"/>
            <family val="2"/>
            <charset val="204"/>
          </rPr>
          <t>Маргарита Смиричинская:</t>
        </r>
        <r>
          <rPr>
            <sz val="9"/>
            <color indexed="81"/>
            <rFont val="Tahoma"/>
            <family val="2"/>
            <charset val="204"/>
          </rPr>
          <t xml:space="preserve">
сч№ 21870064300701
сч№ 218700978090350</t>
        </r>
      </text>
    </comment>
    <comment ref="B17" authorId="0" shapeId="0">
      <text>
        <r>
          <rPr>
            <b/>
            <sz val="9"/>
            <color indexed="81"/>
            <rFont val="Tahoma"/>
            <family val="2"/>
            <charset val="204"/>
          </rPr>
          <t>Маргарита Смиричинская:</t>
        </r>
        <r>
          <rPr>
            <sz val="9"/>
            <color indexed="81"/>
            <rFont val="Tahoma"/>
            <family val="2"/>
            <charset val="204"/>
          </rPr>
          <t xml:space="preserve">
сч№ 218800000277
</t>
        </r>
      </text>
    </comment>
    <comment ref="B18" authorId="0" shapeId="0">
      <text>
        <r>
          <rPr>
            <b/>
            <sz val="9"/>
            <color indexed="81"/>
            <rFont val="Tahoma"/>
            <family val="2"/>
            <charset val="204"/>
          </rPr>
          <t>Маргарита Смиричинская:</t>
        </r>
        <r>
          <rPr>
            <sz val="9"/>
            <color indexed="81"/>
            <rFont val="Tahoma"/>
            <family val="2"/>
            <charset val="204"/>
          </rPr>
          <t xml:space="preserve">
сч№ 218800000274</t>
        </r>
      </text>
    </comment>
  </commentList>
</comments>
</file>

<file path=xl/sharedStrings.xml><?xml version="1.0" encoding="utf-8"?>
<sst xmlns="http://schemas.openxmlformats.org/spreadsheetml/2006/main" count="68" uniqueCount="41">
  <si>
    <t>№
п/п</t>
  </si>
  <si>
    <t>Направление</t>
  </si>
  <si>
    <t>Выдано</t>
  </si>
  <si>
    <t>Погашено</t>
  </si>
  <si>
    <t>ВСЕГО</t>
  </si>
  <si>
    <t>росс. руб.</t>
  </si>
  <si>
    <t xml:space="preserve">руб. ПМР </t>
  </si>
  <si>
    <t>в том числе</t>
  </si>
  <si>
    <t>Овощеводство и растениеводство</t>
  </si>
  <si>
    <t>Производство и переработка продовольственных, промышленных товаров, товаров народного потребления</t>
  </si>
  <si>
    <t>Оказание услуг населению</t>
  </si>
  <si>
    <t>Неустойка/
проценты, направленные на дальнейшее кредитование</t>
  </si>
  <si>
    <t>Кол-во</t>
  </si>
  <si>
    <t>Задолженность
по кредитам  (займам)</t>
  </si>
  <si>
    <t>Приложение № 2</t>
  </si>
  <si>
    <t>*24,6 млн. руб. перечислено в республиканский бюджет в соответствии с Законом ПМР "О республиканском бюджете на 2014 год и плановый период 2015 и 2016 годов ".</t>
  </si>
  <si>
    <t xml:space="preserve">Гос. Программа (МП ), *
руб. ПМР </t>
  </si>
  <si>
    <t>Общественное питание</t>
  </si>
  <si>
    <t xml:space="preserve">росс. руб. </t>
  </si>
  <si>
    <t>Агропромышленный комплекс</t>
  </si>
  <si>
    <t>Евро</t>
  </si>
  <si>
    <t>Малое предпринимательство с полным залогом</t>
  </si>
  <si>
    <t xml:space="preserve">Малое предпринимательство с поручительством ФГР ПМР </t>
  </si>
  <si>
    <t xml:space="preserve">Развитие личного подсобного хозяйства, руб. ПМР </t>
  </si>
  <si>
    <t>Хранение и переработка сельхоз. продукции</t>
  </si>
  <si>
    <t>Раскорчевка</t>
  </si>
  <si>
    <t>Переброска на другие направления</t>
  </si>
  <si>
    <t>Конвертация
 в Евро</t>
  </si>
  <si>
    <t>Выделено средств
на кредитование
(в т.ч. после конвертации в Евро)</t>
  </si>
  <si>
    <t>руб.ПМР</t>
  </si>
  <si>
    <t>Конвертация в руб.ПМР (НС №8 от 28.06.22г)</t>
  </si>
  <si>
    <t>Информация о кредитовании хозяйствующих субъектов
 за счет средств финансового резерва Фонд государственного резерва Приднестровской Молдавской Республики
по состоянию на 31 декабря 2022 года</t>
  </si>
  <si>
    <r>
      <t xml:space="preserve">Мелиорация, </t>
    </r>
    <r>
      <rPr>
        <i/>
        <sz val="10"/>
        <rFont val="Times New Roman"/>
        <family val="1"/>
        <charset val="204"/>
      </rPr>
      <t>росс. руб.</t>
    </r>
  </si>
  <si>
    <r>
      <t xml:space="preserve">Переработка вторичного сырья, </t>
    </r>
    <r>
      <rPr>
        <i/>
        <sz val="10"/>
        <rFont val="Times New Roman"/>
        <family val="1"/>
        <charset val="204"/>
      </rPr>
      <t xml:space="preserve">руб. ПМР </t>
    </r>
  </si>
  <si>
    <r>
      <t xml:space="preserve">Закладка многолетних насаждений, </t>
    </r>
    <r>
      <rPr>
        <i/>
        <sz val="10"/>
        <rFont val="Times New Roman"/>
        <family val="1"/>
        <charset val="204"/>
      </rPr>
      <t>росс. руб.</t>
    </r>
  </si>
  <si>
    <r>
      <t xml:space="preserve">Животноводство, </t>
    </r>
    <r>
      <rPr>
        <i/>
        <sz val="10"/>
        <rFont val="Times New Roman"/>
        <family val="1"/>
        <charset val="204"/>
      </rPr>
      <t>росс. руб.</t>
    </r>
  </si>
  <si>
    <r>
      <t xml:space="preserve">Разработка, внедрение (установка) и реализация программных продуктов, </t>
    </r>
    <r>
      <rPr>
        <i/>
        <sz val="10"/>
        <rFont val="Times New Roman"/>
        <family val="1"/>
        <charset val="204"/>
      </rPr>
      <t xml:space="preserve">руб. ПМР </t>
    </r>
  </si>
  <si>
    <r>
      <t>Внутренний туризм,</t>
    </r>
    <r>
      <rPr>
        <i/>
        <sz val="10"/>
        <rFont val="Times New Roman"/>
        <family val="1"/>
        <charset val="204"/>
      </rPr>
      <t xml:space="preserve"> руб. ПМР </t>
    </r>
  </si>
  <si>
    <r>
      <t xml:space="preserve">Производство изделий народных художественных промыслов, </t>
    </r>
    <r>
      <rPr>
        <i/>
        <sz val="10"/>
        <rFont val="Times New Roman"/>
        <family val="1"/>
        <charset val="204"/>
      </rPr>
      <t>росс. руб.</t>
    </r>
  </si>
  <si>
    <r>
      <t xml:space="preserve">Международные пассажирские перевозки, </t>
    </r>
    <r>
      <rPr>
        <i/>
        <sz val="10"/>
        <rFont val="Times New Roman"/>
        <family val="1"/>
        <charset val="204"/>
      </rPr>
      <t>Евро</t>
    </r>
  </si>
  <si>
    <r>
      <t xml:space="preserve">Выплата зп, начисленной в период ЧП, </t>
    </r>
    <r>
      <rPr>
        <i/>
        <sz val="10"/>
        <rFont val="Times New Roman"/>
        <family val="1"/>
        <charset val="204"/>
      </rPr>
      <t>Евро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</si>
</sst>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0"/>
      <name val="Times New Roman"/>
      <family val="1"/>
      <charset val="204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10"/>
      <name val="Arial"/>
      <family val="2"/>
      <charset val="204"/>
    </font>
    <font>
      <sz val="8"/>
      <color rgb="FFFF0000"/>
      <name val="Arial"/>
      <family val="2"/>
      <charset val="204"/>
    </font>
    <font>
      <sz val="10"/>
      <color rgb="FFFF0000"/>
      <name val="Times New Roman"/>
      <family val="1"/>
      <charset val="204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b/>
      <sz val="10"/>
      <color rgb="FFFF0000"/>
      <name val="Times New Roman"/>
      <family val="1"/>
      <charset val="204"/>
    </font>
    <font>
      <i/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0">
    <xf numFmtId="0" fontId="0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94">
    <xf numFmtId="0" fontId="0" fillId="0" borderId="0" xfId="0"/>
    <xf numFmtId="0" fontId="4" fillId="0" borderId="0" xfId="0" applyFont="1" applyFill="1"/>
    <xf numFmtId="0" fontId="4" fillId="0" borderId="0" xfId="0" applyFont="1" applyFill="1" applyAlignment="1">
      <alignment horizontal="center" vertical="center"/>
    </xf>
    <xf numFmtId="0" fontId="0" fillId="0" borderId="0" xfId="0" applyFont="1" applyFill="1"/>
    <xf numFmtId="4" fontId="4" fillId="0" borderId="0" xfId="0" applyNumberFormat="1" applyFont="1" applyFill="1"/>
    <xf numFmtId="0" fontId="7" fillId="0" borderId="0" xfId="0" applyFont="1" applyFill="1"/>
    <xf numFmtId="3" fontId="4" fillId="0" borderId="0" xfId="0" applyNumberFormat="1" applyFont="1" applyFill="1" applyBorder="1"/>
    <xf numFmtId="3" fontId="3" fillId="0" borderId="10" xfId="1" applyNumberFormat="1" applyFont="1" applyFill="1" applyBorder="1" applyAlignment="1">
      <alignment horizontal="center" vertical="center" wrapText="1"/>
    </xf>
    <xf numFmtId="3" fontId="3" fillId="0" borderId="11" xfId="1" applyNumberFormat="1" applyFont="1" applyFill="1" applyBorder="1" applyAlignment="1">
      <alignment horizontal="center" vertical="center" wrapText="1"/>
    </xf>
    <xf numFmtId="3" fontId="4" fillId="0" borderId="0" xfId="0" applyNumberFormat="1" applyFont="1" applyFill="1"/>
    <xf numFmtId="4" fontId="0" fillId="0" borderId="0" xfId="0" applyNumberFormat="1" applyFont="1" applyFill="1"/>
    <xf numFmtId="3" fontId="0" fillId="0" borderId="0" xfId="0" applyNumberFormat="1" applyFont="1" applyFill="1"/>
    <xf numFmtId="0" fontId="7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vertical="center" wrapText="1"/>
    </xf>
    <xf numFmtId="0" fontId="11" fillId="0" borderId="5" xfId="1" applyFont="1" applyFill="1" applyBorder="1" applyAlignment="1">
      <alignment horizontal="center" vertical="center"/>
    </xf>
    <xf numFmtId="0" fontId="8" fillId="0" borderId="12" xfId="1" applyFont="1" applyFill="1" applyBorder="1" applyAlignment="1">
      <alignment horizontal="left" vertical="center" wrapText="1"/>
    </xf>
    <xf numFmtId="3" fontId="11" fillId="0" borderId="18" xfId="1" applyNumberFormat="1" applyFont="1" applyFill="1" applyBorder="1" applyAlignment="1">
      <alignment horizontal="right" vertical="center" wrapText="1"/>
    </xf>
    <xf numFmtId="3" fontId="11" fillId="0" borderId="19" xfId="1" applyNumberFormat="1" applyFont="1" applyFill="1" applyBorder="1" applyAlignment="1">
      <alignment horizontal="right" vertical="center" wrapText="1"/>
    </xf>
    <xf numFmtId="3" fontId="11" fillId="0" borderId="12" xfId="1" applyNumberFormat="1" applyFont="1" applyFill="1" applyBorder="1" applyAlignment="1">
      <alignment horizontal="right" vertical="center" wrapText="1"/>
    </xf>
    <xf numFmtId="4" fontId="11" fillId="0" borderId="6" xfId="1" applyNumberFormat="1" applyFont="1" applyFill="1" applyBorder="1" applyAlignment="1">
      <alignment horizontal="right" vertical="center" wrapText="1"/>
    </xf>
    <xf numFmtId="3" fontId="11" fillId="0" borderId="5" xfId="1" applyNumberFormat="1" applyFont="1" applyFill="1" applyBorder="1" applyAlignment="1">
      <alignment horizontal="center" vertical="center"/>
    </xf>
    <xf numFmtId="3" fontId="11" fillId="0" borderId="7" xfId="1" applyNumberFormat="1" applyFont="1" applyFill="1" applyBorder="1" applyAlignment="1">
      <alignment horizontal="center" vertical="center"/>
    </xf>
    <xf numFmtId="3" fontId="11" fillId="0" borderId="8" xfId="1" applyNumberFormat="1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3" fontId="0" fillId="0" borderId="0" xfId="0" applyNumberFormat="1" applyFont="1" applyFill="1" applyBorder="1"/>
    <xf numFmtId="4" fontId="5" fillId="0" borderId="1" xfId="1" applyNumberFormat="1" applyFont="1" applyFill="1" applyBorder="1" applyAlignment="1">
      <alignment horizontal="right" vertical="center" wrapText="1"/>
    </xf>
    <xf numFmtId="0" fontId="5" fillId="0" borderId="2" xfId="1" applyFont="1" applyFill="1" applyBorder="1" applyAlignment="1">
      <alignment horizontal="center" vertical="center" wrapText="1"/>
    </xf>
    <xf numFmtId="0" fontId="3" fillId="0" borderId="2" xfId="1" applyFont="1" applyFill="1" applyBorder="1" applyAlignment="1">
      <alignment horizontal="center" vertical="center" wrapText="1"/>
    </xf>
    <xf numFmtId="4" fontId="4" fillId="0" borderId="1" xfId="0" applyNumberFormat="1" applyFont="1" applyFill="1" applyBorder="1"/>
    <xf numFmtId="4" fontId="5" fillId="0" borderId="1" xfId="1" applyNumberFormat="1" applyFont="1" applyFill="1" applyBorder="1" applyAlignment="1">
      <alignment vertical="center"/>
    </xf>
    <xf numFmtId="0" fontId="5" fillId="0" borderId="7" xfId="1" applyFont="1" applyFill="1" applyBorder="1" applyAlignment="1">
      <alignment horizontal="center" vertical="center"/>
    </xf>
    <xf numFmtId="0" fontId="12" fillId="0" borderId="2" xfId="1" applyFont="1" applyFill="1" applyBorder="1" applyAlignment="1">
      <alignment horizontal="right" vertical="center" wrapText="1"/>
    </xf>
    <xf numFmtId="0" fontId="5" fillId="0" borderId="4" xfId="1" applyFont="1" applyFill="1" applyBorder="1" applyAlignment="1">
      <alignment horizontal="left" vertical="center" wrapText="1"/>
    </xf>
    <xf numFmtId="0" fontId="5" fillId="0" borderId="3" xfId="1" applyFont="1" applyFill="1" applyBorder="1" applyAlignment="1">
      <alignment horizontal="left" vertical="center" wrapText="1"/>
    </xf>
    <xf numFmtId="0" fontId="3" fillId="0" borderId="1" xfId="1" applyFont="1" applyFill="1" applyBorder="1" applyAlignment="1">
      <alignment horizontal="center" vertical="center" wrapText="1"/>
    </xf>
    <xf numFmtId="4" fontId="4" fillId="0" borderId="1" xfId="0" applyNumberFormat="1" applyFont="1" applyFill="1" applyBorder="1" applyAlignment="1">
      <alignment horizontal="right"/>
    </xf>
    <xf numFmtId="4" fontId="4" fillId="0" borderId="0" xfId="0" applyNumberFormat="1" applyFont="1" applyFill="1" applyBorder="1"/>
    <xf numFmtId="0" fontId="5" fillId="0" borderId="20" xfId="1" applyFont="1" applyFill="1" applyBorder="1" applyAlignment="1">
      <alignment horizontal="center" vertical="center"/>
    </xf>
    <xf numFmtId="0" fontId="3" fillId="0" borderId="21" xfId="1" applyFont="1" applyFill="1" applyBorder="1" applyAlignment="1">
      <alignment horizontal="center" vertical="center" wrapText="1"/>
    </xf>
    <xf numFmtId="4" fontId="5" fillId="0" borderId="24" xfId="1" applyNumberFormat="1" applyFont="1" applyFill="1" applyBorder="1" applyAlignment="1">
      <alignment horizontal="right" vertical="center" wrapText="1"/>
    </xf>
    <xf numFmtId="4" fontId="5" fillId="0" borderId="24" xfId="1" applyNumberFormat="1" applyFont="1" applyFill="1" applyBorder="1" applyAlignment="1">
      <alignment vertical="center"/>
    </xf>
    <xf numFmtId="0" fontId="5" fillId="0" borderId="4" xfId="1" applyFont="1" applyFill="1" applyBorder="1" applyAlignment="1">
      <alignment horizontal="center" vertical="center" wrapText="1"/>
    </xf>
    <xf numFmtId="0" fontId="5" fillId="0" borderId="3" xfId="1" applyFont="1" applyFill="1" applyBorder="1" applyAlignment="1">
      <alignment horizontal="center" vertical="center" wrapText="1"/>
    </xf>
    <xf numFmtId="3" fontId="3" fillId="0" borderId="2" xfId="1" applyNumberFormat="1" applyFont="1" applyFill="1" applyBorder="1" applyAlignment="1">
      <alignment horizontal="center" vertical="center" wrapText="1"/>
    </xf>
    <xf numFmtId="3" fontId="5" fillId="0" borderId="26" xfId="1" applyNumberFormat="1" applyFont="1" applyFill="1" applyBorder="1" applyAlignment="1">
      <alignment vertical="center"/>
    </xf>
    <xf numFmtId="3" fontId="5" fillId="0" borderId="25" xfId="1" applyNumberFormat="1" applyFont="1" applyFill="1" applyBorder="1" applyAlignment="1">
      <alignment horizontal="center" vertical="center"/>
    </xf>
    <xf numFmtId="3" fontId="12" fillId="0" borderId="26" xfId="1" applyNumberFormat="1" applyFont="1" applyFill="1" applyBorder="1" applyAlignment="1">
      <alignment horizontal="right" vertical="center" wrapText="1"/>
    </xf>
    <xf numFmtId="3" fontId="4" fillId="0" borderId="26" xfId="0" applyNumberFormat="1" applyFont="1" applyFill="1" applyBorder="1"/>
    <xf numFmtId="3" fontId="5" fillId="0" borderId="5" xfId="1" applyNumberFormat="1" applyFont="1" applyFill="1" applyBorder="1" applyAlignment="1">
      <alignment horizontal="center" vertical="center"/>
    </xf>
    <xf numFmtId="3" fontId="3" fillId="0" borderId="6" xfId="1" applyNumberFormat="1" applyFont="1" applyFill="1" applyBorder="1" applyAlignment="1">
      <alignment vertical="center" wrapText="1"/>
    </xf>
    <xf numFmtId="3" fontId="4" fillId="0" borderId="6" xfId="0" applyNumberFormat="1" applyFont="1" applyFill="1" applyBorder="1"/>
    <xf numFmtId="3" fontId="4" fillId="0" borderId="12" xfId="0" applyNumberFormat="1" applyFont="1" applyFill="1" applyBorder="1"/>
    <xf numFmtId="3" fontId="5" fillId="0" borderId="7" xfId="1" applyNumberFormat="1" applyFont="1" applyFill="1" applyBorder="1" applyAlignment="1">
      <alignment horizontal="center" vertical="center"/>
    </xf>
    <xf numFmtId="3" fontId="12" fillId="0" borderId="1" xfId="1" applyNumberFormat="1" applyFont="1" applyFill="1" applyBorder="1" applyAlignment="1">
      <alignment horizontal="right" vertical="center" wrapText="1"/>
    </xf>
    <xf numFmtId="3" fontId="5" fillId="0" borderId="1" xfId="1" applyNumberFormat="1" applyFont="1" applyFill="1" applyBorder="1" applyAlignment="1">
      <alignment vertical="center"/>
    </xf>
    <xf numFmtId="3" fontId="5" fillId="0" borderId="2" xfId="1" applyNumberFormat="1" applyFont="1" applyFill="1" applyBorder="1" applyAlignment="1">
      <alignment horizontal="center" vertical="center" wrapText="1"/>
    </xf>
    <xf numFmtId="3" fontId="4" fillId="0" borderId="1" xfId="0" applyNumberFormat="1" applyFont="1" applyFill="1" applyBorder="1"/>
    <xf numFmtId="3" fontId="5" fillId="0" borderId="10" xfId="1" applyNumberFormat="1" applyFont="1" applyFill="1" applyBorder="1" applyAlignment="1">
      <alignment horizontal="center" vertical="center"/>
    </xf>
    <xf numFmtId="3" fontId="3" fillId="0" borderId="11" xfId="1" applyNumberFormat="1" applyFont="1" applyFill="1" applyBorder="1" applyAlignment="1">
      <alignment vertical="center" wrapText="1"/>
    </xf>
    <xf numFmtId="3" fontId="5" fillId="0" borderId="11" xfId="1" applyNumberFormat="1" applyFont="1" applyFill="1" applyBorder="1" applyAlignment="1">
      <alignment vertical="center"/>
    </xf>
    <xf numFmtId="3" fontId="5" fillId="0" borderId="13" xfId="1" applyNumberFormat="1" applyFont="1" applyFill="1" applyBorder="1" applyAlignment="1">
      <alignment horizontal="center" vertical="center" wrapText="1"/>
    </xf>
    <xf numFmtId="3" fontId="5" fillId="0" borderId="8" xfId="1" applyNumberFormat="1" applyFont="1" applyFill="1" applyBorder="1" applyAlignment="1">
      <alignment horizontal="center" vertical="center"/>
    </xf>
    <xf numFmtId="3" fontId="12" fillId="0" borderId="9" xfId="1" applyNumberFormat="1" applyFont="1" applyFill="1" applyBorder="1" applyAlignment="1">
      <alignment horizontal="right" vertical="center" wrapText="1"/>
    </xf>
    <xf numFmtId="3" fontId="5" fillId="0" borderId="9" xfId="1" applyNumberFormat="1" applyFont="1" applyFill="1" applyBorder="1" applyAlignment="1">
      <alignment vertical="center"/>
    </xf>
    <xf numFmtId="3" fontId="5" fillId="0" borderId="17" xfId="1" applyNumberFormat="1" applyFont="1" applyFill="1" applyBorder="1" applyAlignment="1">
      <alignment vertical="center"/>
    </xf>
    <xf numFmtId="3" fontId="5" fillId="0" borderId="12" xfId="1" applyNumberFormat="1" applyFont="1" applyFill="1" applyBorder="1" applyAlignment="1">
      <alignment horizontal="center" vertical="center" wrapText="1"/>
    </xf>
    <xf numFmtId="3" fontId="5" fillId="0" borderId="13" xfId="1" applyNumberFormat="1" applyFont="1" applyFill="1" applyBorder="1" applyAlignment="1">
      <alignment vertical="center"/>
    </xf>
    <xf numFmtId="3" fontId="5" fillId="0" borderId="13" xfId="1" applyNumberFormat="1" applyFont="1" applyFill="1" applyBorder="1" applyAlignment="1">
      <alignment horizontal="right" vertical="center" wrapText="1"/>
    </xf>
    <xf numFmtId="3" fontId="4" fillId="0" borderId="17" xfId="0" applyNumberFormat="1" applyFont="1" applyFill="1" applyBorder="1"/>
    <xf numFmtId="3" fontId="5" fillId="0" borderId="6" xfId="1" applyNumberFormat="1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/>
    </xf>
    <xf numFmtId="3" fontId="3" fillId="0" borderId="14" xfId="1" applyNumberFormat="1" applyFont="1" applyFill="1" applyBorder="1" applyAlignment="1">
      <alignment vertical="center" wrapText="1"/>
    </xf>
    <xf numFmtId="3" fontId="5" fillId="0" borderId="15" xfId="1" applyNumberFormat="1" applyFont="1" applyFill="1" applyBorder="1"/>
    <xf numFmtId="3" fontId="5" fillId="0" borderId="16" xfId="1" applyNumberFormat="1" applyFont="1" applyFill="1" applyBorder="1" applyAlignment="1">
      <alignment horizontal="center" vertical="center"/>
    </xf>
    <xf numFmtId="3" fontId="3" fillId="0" borderId="14" xfId="1" applyNumberFormat="1" applyFont="1" applyFill="1" applyBorder="1" applyAlignment="1">
      <alignment horizontal="center" vertical="center" wrapText="1"/>
    </xf>
    <xf numFmtId="3" fontId="3" fillId="0" borderId="14" xfId="1" applyNumberFormat="1" applyFont="1" applyFill="1" applyBorder="1" applyAlignment="1">
      <alignment vertical="center"/>
    </xf>
    <xf numFmtId="3" fontId="3" fillId="0" borderId="1" xfId="1" applyNumberFormat="1" applyFont="1" applyFill="1" applyBorder="1" applyAlignment="1">
      <alignment vertical="center" wrapText="1"/>
    </xf>
    <xf numFmtId="3" fontId="3" fillId="0" borderId="2" xfId="1" applyNumberFormat="1" applyFont="1" applyFill="1" applyBorder="1" applyAlignment="1">
      <alignment vertical="center" wrapText="1"/>
    </xf>
    <xf numFmtId="3" fontId="3" fillId="0" borderId="9" xfId="1" applyNumberFormat="1" applyFont="1" applyFill="1" applyBorder="1" applyAlignment="1">
      <alignment horizontal="right" vertical="center" wrapText="1"/>
    </xf>
    <xf numFmtId="3" fontId="3" fillId="0" borderId="17" xfId="1" applyNumberFormat="1" applyFont="1" applyFill="1" applyBorder="1" applyAlignment="1">
      <alignment horizontal="right" vertical="center" wrapText="1"/>
    </xf>
    <xf numFmtId="0" fontId="5" fillId="0" borderId="0" xfId="0" applyFont="1" applyFill="1" applyAlignment="1">
      <alignment horizontal="left"/>
    </xf>
    <xf numFmtId="0" fontId="5" fillId="0" borderId="0" xfId="0" applyFont="1" applyFill="1" applyAlignment="1">
      <alignment vertical="center" wrapText="1"/>
    </xf>
    <xf numFmtId="0" fontId="5" fillId="0" borderId="2" xfId="1" applyFont="1" applyFill="1" applyBorder="1" applyAlignment="1">
      <alignment horizontal="left" vertical="center" wrapText="1"/>
    </xf>
    <xf numFmtId="0" fontId="5" fillId="0" borderId="4" xfId="1" applyFont="1" applyFill="1" applyBorder="1" applyAlignment="1">
      <alignment horizontal="left" vertical="center" wrapText="1"/>
    </xf>
    <xf numFmtId="0" fontId="5" fillId="0" borderId="3" xfId="1" applyFont="1" applyFill="1" applyBorder="1" applyAlignment="1">
      <alignment horizontal="left" vertical="center" wrapText="1"/>
    </xf>
    <xf numFmtId="0" fontId="5" fillId="0" borderId="1" xfId="1" applyFont="1" applyFill="1" applyBorder="1" applyAlignment="1">
      <alignment horizontal="left" vertical="center" wrapText="1"/>
    </xf>
    <xf numFmtId="0" fontId="5" fillId="0" borderId="21" xfId="1" applyFont="1" applyFill="1" applyBorder="1" applyAlignment="1">
      <alignment horizontal="left" vertical="center" wrapText="1"/>
    </xf>
    <xf numFmtId="0" fontId="5" fillId="0" borderId="22" xfId="1" applyFont="1" applyFill="1" applyBorder="1" applyAlignment="1">
      <alignment horizontal="left" vertical="center" wrapText="1"/>
    </xf>
    <xf numFmtId="0" fontId="5" fillId="0" borderId="23" xfId="1" applyFont="1" applyFill="1" applyBorder="1" applyAlignment="1">
      <alignment horizontal="left" vertical="center" wrapText="1"/>
    </xf>
    <xf numFmtId="0" fontId="8" fillId="0" borderId="0" xfId="0" applyFont="1" applyFill="1" applyBorder="1" applyAlignment="1">
      <alignment horizontal="left" wrapText="1"/>
    </xf>
    <xf numFmtId="0" fontId="3" fillId="0" borderId="0" xfId="1" applyFont="1" applyFill="1" applyAlignment="1">
      <alignment horizontal="center" vertical="center" wrapText="1"/>
    </xf>
    <xf numFmtId="0" fontId="5" fillId="0" borderId="2" xfId="1" applyFont="1" applyFill="1" applyBorder="1" applyAlignment="1">
      <alignment horizontal="left" wrapText="1"/>
    </xf>
    <xf numFmtId="0" fontId="5" fillId="0" borderId="4" xfId="1" applyFont="1" applyFill="1" applyBorder="1" applyAlignment="1">
      <alignment horizontal="left" wrapText="1"/>
    </xf>
    <xf numFmtId="0" fontId="5" fillId="0" borderId="3" xfId="1" applyFont="1" applyFill="1" applyBorder="1" applyAlignment="1">
      <alignment horizontal="left" wrapText="1"/>
    </xf>
  </cellXfs>
  <cellStyles count="10">
    <cellStyle name="Обычный" xfId="0" builtinId="0"/>
    <cellStyle name="Обычный 2" xfId="2"/>
    <cellStyle name="Обычный 2 2" xfId="3"/>
    <cellStyle name="Обычный 3" xfId="4"/>
    <cellStyle name="Обычный 3 2" xfId="5"/>
    <cellStyle name="Обычный 3 3" xfId="6"/>
    <cellStyle name="Обычный 4" xfId="7"/>
    <cellStyle name="Обычный 4 2" xfId="8"/>
    <cellStyle name="Обычный 5" xfId="1"/>
    <cellStyle name="Обычный 5 2" xfId="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M66"/>
  <sheetViews>
    <sheetView tabSelected="1" view="pageBreakPreview" zoomScaleNormal="115" zoomScaleSheetLayoutView="100" workbookViewId="0">
      <selection activeCell="H62" sqref="H62:M66"/>
    </sheetView>
  </sheetViews>
  <sheetFormatPr defaultRowHeight="11.25" x14ac:dyDescent="0.2"/>
  <cols>
    <col min="1" max="1" width="6.83203125" style="2" customWidth="1"/>
    <col min="2" max="2" width="32.83203125" style="1" customWidth="1"/>
    <col min="3" max="3" width="14.1640625" style="1" customWidth="1"/>
    <col min="4" max="4" width="14.83203125" style="1" customWidth="1"/>
    <col min="5" max="5" width="13.33203125" style="1" customWidth="1"/>
    <col min="6" max="6" width="14" style="1" customWidth="1"/>
    <col min="7" max="7" width="15.33203125" style="3" customWidth="1"/>
    <col min="8" max="8" width="8.6640625" style="3" customWidth="1"/>
    <col min="9" max="9" width="15.33203125" style="4" customWidth="1"/>
    <col min="10" max="10" width="15.6640625" style="4" customWidth="1"/>
    <col min="11" max="11" width="16.5" style="4" customWidth="1"/>
    <col min="12" max="12" width="11.1640625" style="1" bestFit="1" customWidth="1"/>
    <col min="13" max="13" width="11.6640625" style="1" bestFit="1" customWidth="1"/>
    <col min="14" max="16384" width="9.33203125" style="1"/>
  </cols>
  <sheetData>
    <row r="1" spans="1:12" s="3" customFormat="1" ht="12.75" x14ac:dyDescent="0.2">
      <c r="A1" s="23"/>
      <c r="I1" s="10"/>
      <c r="J1" s="10"/>
      <c r="K1" s="80" t="s">
        <v>14</v>
      </c>
    </row>
    <row r="2" spans="1:12" s="3" customFormat="1" ht="11.25" customHeight="1" x14ac:dyDescent="0.2">
      <c r="A2" s="90" t="s">
        <v>31</v>
      </c>
      <c r="B2" s="90"/>
      <c r="C2" s="90"/>
      <c r="D2" s="90"/>
      <c r="E2" s="90"/>
      <c r="F2" s="90"/>
      <c r="G2" s="90"/>
      <c r="H2" s="90"/>
      <c r="I2" s="90"/>
      <c r="J2" s="90"/>
      <c r="K2" s="90"/>
    </row>
    <row r="3" spans="1:12" s="3" customFormat="1" ht="37.5" customHeight="1" thickBot="1" x14ac:dyDescent="0.25">
      <c r="A3" s="90"/>
      <c r="B3" s="90"/>
      <c r="C3" s="90"/>
      <c r="D3" s="90"/>
      <c r="E3" s="90"/>
      <c r="F3" s="90"/>
      <c r="G3" s="90"/>
      <c r="H3" s="90"/>
      <c r="I3" s="90"/>
      <c r="J3" s="90"/>
      <c r="K3" s="90"/>
    </row>
    <row r="4" spans="1:12" s="11" customFormat="1" ht="102" customHeight="1" thickBot="1" x14ac:dyDescent="0.25">
      <c r="A4" s="7" t="s">
        <v>0</v>
      </c>
      <c r="B4" s="8" t="s">
        <v>1</v>
      </c>
      <c r="C4" s="8" t="s">
        <v>28</v>
      </c>
      <c r="D4" s="8" t="s">
        <v>26</v>
      </c>
      <c r="E4" s="8" t="s">
        <v>27</v>
      </c>
      <c r="F4" s="8" t="s">
        <v>30</v>
      </c>
      <c r="G4" s="8" t="s">
        <v>11</v>
      </c>
      <c r="H4" s="8" t="s">
        <v>12</v>
      </c>
      <c r="I4" s="8" t="s">
        <v>2</v>
      </c>
      <c r="J4" s="8" t="s">
        <v>3</v>
      </c>
      <c r="K4" s="8" t="s">
        <v>13</v>
      </c>
      <c r="L4" s="24"/>
    </row>
    <row r="5" spans="1:12" s="9" customFormat="1" ht="12.75" x14ac:dyDescent="0.2">
      <c r="A5" s="48">
        <v>1</v>
      </c>
      <c r="B5" s="49" t="s">
        <v>19</v>
      </c>
      <c r="C5" s="50"/>
      <c r="D5" s="50"/>
      <c r="E5" s="50"/>
      <c r="F5" s="50"/>
      <c r="G5" s="50"/>
      <c r="H5" s="69">
        <f>168+3+2+4+7+1+1+1+2+1</f>
        <v>190</v>
      </c>
      <c r="I5" s="50"/>
      <c r="J5" s="50"/>
      <c r="K5" s="50"/>
      <c r="L5" s="6"/>
    </row>
    <row r="6" spans="1:12" s="9" customFormat="1" ht="12.75" x14ac:dyDescent="0.2">
      <c r="A6" s="52"/>
      <c r="B6" s="53" t="s">
        <v>5</v>
      </c>
      <c r="C6" s="54">
        <f>214518000+201094791</f>
        <v>415612791</v>
      </c>
      <c r="D6" s="54">
        <f>65000000-28600392.13</f>
        <v>36399607.870000005</v>
      </c>
      <c r="E6" s="54">
        <f>7392587+35399878.94+22213373.54+5456564.35+87240+1261192+3928220+820528.63+4317758+174801+69500+1046716.18+27040070.42+26690864.25+10665836.75+14905267.09+16661216.3+26784014.22+56181633.47+13204823.61+14834555.1+27582187.26</f>
        <v>316718828.11000001</v>
      </c>
      <c r="F6" s="54"/>
      <c r="G6" s="54">
        <f>99241.18+170800+321.26+36261+20639.17+17382+293024.18+284420.56+1305549.82+60183+690969.11+264313.64+602036.75+1200583+134436.18+604571.48+279985.53+521900.58+1223951.29</f>
        <v>7810569.7300000004</v>
      </c>
      <c r="H6" s="56"/>
      <c r="I6" s="54">
        <f>417744917.75+6702750+12250000+35251836.79+820268.09+8702733.44+22169564.56+9186321.75+275807198.38-1816625.73+17360556.81+6555579.91+1211951.7+26727073.22+48690244.8+15043650.41+123400920.38+18192549.35+26106772.6+4332674.12+53110776.77+8851688.12+945044.34+38516152.49+1307247.5+9124493.19+3008757.57-0.04</f>
        <v>1189305098.2699997</v>
      </c>
      <c r="J6" s="54">
        <f>347231530+6988837.21+4999328.53+3709422.27+2381670.19+6916892.65+1838479.93+1811413.59+10991771.24+25255367.48+13324563+205179753.1-1816625.73+12284097.32+4498284.6+3639446.22+6396807.04+23102845.16+8806016+7130884.04+16473401.22+8409699+9019645+20445138.01+12332095+8883560.92+7350302.54+40000+8765932.79+6381338.63+3179400+13869749.29+9170795+4647096+23476348.27+8612390.85+21282409.89+4539982+7505831.33+4742302+4613685.83+8769106+5661352+5594066.17+14057814.04+7038984.04+11167880.75+14760882.95+17558097.8+24176902.92+59144182.25+12217274.83+17200121.1+23241621.26</f>
        <v>1119000173.5199995</v>
      </c>
      <c r="K6" s="54">
        <f>I6-J6</f>
        <v>70304924.750000238</v>
      </c>
      <c r="L6" s="6"/>
    </row>
    <row r="7" spans="1:12" s="9" customFormat="1" ht="12.75" x14ac:dyDescent="0.2">
      <c r="A7" s="45"/>
      <c r="B7" s="46" t="s">
        <v>20</v>
      </c>
      <c r="C7" s="44">
        <f>605373.83+200000+200000+305765.28+63802.27+1074.75+15772.39+49272.63+10546.48+56374.87+2251.8+887.92+13424.46+312851.39+293366.97+150000</f>
        <v>2280765.04</v>
      </c>
      <c r="D7" s="44"/>
      <c r="E7" s="44">
        <f>118361.62+130910.08+229761.85+76275+321106.22+515437.7+186090.25+253442.89+435872.23</f>
        <v>2267257.84</v>
      </c>
      <c r="F7" s="44">
        <f>478835.88+622523.57</f>
        <v>1101359.45</v>
      </c>
      <c r="G7" s="44"/>
      <c r="H7" s="47"/>
      <c r="I7" s="44">
        <f>34871.06+420439.12+330892.26+247016.5+334467+260456.05-75+253169.2+738117.14+309064.79+394040.24+282035.72+750744.22+53897.94+75627</f>
        <v>4484763.24</v>
      </c>
      <c r="J7" s="44">
        <f>8000+29383+9805+26419-75+31680.47+14029+39436.25+279143.97+203570.97+91213+139834+281909.66</f>
        <v>1154349.3199999998</v>
      </c>
      <c r="K7" s="44">
        <f>I7-J7</f>
        <v>3330413.9200000004</v>
      </c>
      <c r="L7" s="6"/>
    </row>
    <row r="8" spans="1:12" s="9" customFormat="1" ht="13.5" thickBot="1" x14ac:dyDescent="0.25">
      <c r="A8" s="61"/>
      <c r="B8" s="62" t="s">
        <v>29</v>
      </c>
      <c r="C8" s="63"/>
      <c r="D8" s="63"/>
      <c r="E8" s="63"/>
      <c r="F8" s="63">
        <f>7813174.58+10220967.2</f>
        <v>18034141.780000001</v>
      </c>
      <c r="G8" s="63"/>
      <c r="H8" s="68"/>
      <c r="I8" s="63"/>
      <c r="J8" s="63"/>
      <c r="K8" s="63"/>
      <c r="L8" s="6"/>
    </row>
    <row r="9" spans="1:12" s="9" customFormat="1" ht="25.5" x14ac:dyDescent="0.2">
      <c r="A9" s="48">
        <v>2</v>
      </c>
      <c r="B9" s="49" t="s">
        <v>21</v>
      </c>
      <c r="C9" s="50"/>
      <c r="D9" s="50"/>
      <c r="E9" s="50"/>
      <c r="F9" s="50"/>
      <c r="G9" s="50"/>
      <c r="H9" s="65">
        <f>35+1+1+1+1</f>
        <v>39</v>
      </c>
      <c r="I9" s="50"/>
      <c r="J9" s="50"/>
      <c r="K9" s="50"/>
      <c r="L9" s="6"/>
    </row>
    <row r="10" spans="1:12" s="9" customFormat="1" ht="12.75" x14ac:dyDescent="0.2">
      <c r="A10" s="52"/>
      <c r="B10" s="53" t="s">
        <v>5</v>
      </c>
      <c r="C10" s="54">
        <v>21515507.210000001</v>
      </c>
      <c r="D10" s="54"/>
      <c r="E10" s="54">
        <f>4647040.03+1215672+144230+292490+131000+259260+195230+19649.58+1986880.33+1265520+1210988.85+1324558.99+1456700+1206970+1000240+1281470+1186440+1518560</f>
        <v>20342899.780000001</v>
      </c>
      <c r="F10" s="54"/>
      <c r="G10" s="54"/>
      <c r="H10" s="6"/>
      <c r="I10" s="54">
        <f>25431167.6+600000+600000+6504722.88+9613875.45+5178167.15+2103234.52+1828117.43+384889.75</f>
        <v>52244174.780000001</v>
      </c>
      <c r="J10" s="54">
        <f>19267851.41+1000743.72+1053365.69+828298.2+774118.18+1101903.23+459815.32+326135.34+734434.47+894502.04+170000+216300+1177800+1177800+1444800+1641800+1723800+33230+1440510+1268402+169783.91+1241780+149166+1323780+158240+1107280+1210988.85+1357788.99+1423470+1206970+318254.55+1144470-318254.55+1341470+1423470+1077300</f>
        <v>51071567.349999994</v>
      </c>
      <c r="K10" s="54">
        <f>I10-J10</f>
        <v>1172607.4300000072</v>
      </c>
      <c r="L10" s="6"/>
    </row>
    <row r="11" spans="1:12" s="9" customFormat="1" ht="12.75" x14ac:dyDescent="0.2">
      <c r="A11" s="45"/>
      <c r="B11" s="46" t="s">
        <v>20</v>
      </c>
      <c r="C11" s="44">
        <f>64416.63+100000+66333.46+16.74</f>
        <v>230766.83000000002</v>
      </c>
      <c r="D11" s="44"/>
      <c r="E11" s="44">
        <f>13412.89+14939.54+16893.09+14457.06+0.13+10658.37+18967.14+20073.54+25224.36</f>
        <v>134626.12</v>
      </c>
      <c r="F11" s="44">
        <f>133048.68+44638.36</f>
        <v>177687.03999999998</v>
      </c>
      <c r="G11" s="44"/>
      <c r="H11" s="44"/>
      <c r="I11" s="44">
        <f>78300+80931.7+43852+7935.12+10000+16013.3+77570.66+37874.14+10000</f>
        <v>362476.92000000004</v>
      </c>
      <c r="J11" s="44">
        <f>38000+5000+956.27+3659.93+2623.5+5480+9942+9942.82+14830.7+26222.48+41615+21714.42</f>
        <v>179987.12</v>
      </c>
      <c r="K11" s="44">
        <f>I11-J11</f>
        <v>182489.80000000005</v>
      </c>
      <c r="L11" s="6"/>
    </row>
    <row r="12" spans="1:12" s="9" customFormat="1" ht="13.5" thickBot="1" x14ac:dyDescent="0.25">
      <c r="A12" s="61"/>
      <c r="B12" s="62" t="s">
        <v>29</v>
      </c>
      <c r="C12" s="63"/>
      <c r="D12" s="63"/>
      <c r="E12" s="63"/>
      <c r="F12" s="63">
        <f>2182474.12+724705.42</f>
        <v>2907179.54</v>
      </c>
      <c r="G12" s="63"/>
      <c r="H12" s="64"/>
      <c r="I12" s="63"/>
      <c r="J12" s="63"/>
      <c r="K12" s="63"/>
      <c r="L12" s="6"/>
    </row>
    <row r="13" spans="1:12" s="9" customFormat="1" ht="28.5" customHeight="1" x14ac:dyDescent="0.2">
      <c r="A13" s="48">
        <v>3</v>
      </c>
      <c r="B13" s="49" t="s">
        <v>22</v>
      </c>
      <c r="C13" s="50"/>
      <c r="D13" s="50"/>
      <c r="E13" s="50"/>
      <c r="F13" s="50"/>
      <c r="G13" s="50"/>
      <c r="H13" s="51"/>
      <c r="I13" s="50"/>
      <c r="J13" s="50"/>
      <c r="K13" s="50"/>
      <c r="L13" s="6"/>
    </row>
    <row r="14" spans="1:12" s="9" customFormat="1" ht="12.75" x14ac:dyDescent="0.2">
      <c r="A14" s="52"/>
      <c r="B14" s="53" t="s">
        <v>5</v>
      </c>
      <c r="C14" s="54">
        <f>65000000</f>
        <v>65000000</v>
      </c>
      <c r="D14" s="54">
        <f>28600392.13</f>
        <v>28600392.129999999</v>
      </c>
      <c r="E14" s="54">
        <f>28705992.08+4373656.61+875832.05+817174.14+1109218.21+503075.7+412021.92</f>
        <v>36796970.710000001</v>
      </c>
      <c r="F14" s="54"/>
      <c r="G14" s="54">
        <f>721.29+38902.45+59720.51+46473.47+50982.07+42881.9+36345.43+29953.97+28083.85+21789.62+16998.65+12337.92+7739.48+3168.12+1264.11</f>
        <v>397362.83999999991</v>
      </c>
      <c r="H14" s="55">
        <f>9</f>
        <v>9</v>
      </c>
      <c r="I14" s="54">
        <f>548482+9933147+1774522</f>
        <v>12256151</v>
      </c>
      <c r="J14" s="54">
        <f>321120+1128480+381953+1402019+1232059+1486259.12+522089.84+718969.75+1387387.45+0.1+900674.45+804577.45+1059896.45+500665.39+410000</f>
        <v>12256150.999999998</v>
      </c>
      <c r="K14" s="54">
        <f>I14-J14</f>
        <v>0</v>
      </c>
      <c r="L14" s="6"/>
    </row>
    <row r="15" spans="1:12" s="9" customFormat="1" ht="12.75" x14ac:dyDescent="0.2">
      <c r="A15" s="45"/>
      <c r="B15" s="46" t="s">
        <v>20</v>
      </c>
      <c r="C15" s="44">
        <f>393248.74+18977.11+3137.05+2162.72+442.76+2131.06+258.81+10416.46+15491.54</f>
        <v>446266.24999999994</v>
      </c>
      <c r="D15" s="44">
        <f>100000+200000+150000</f>
        <v>450000</v>
      </c>
      <c r="E15" s="44">
        <f>9679.78+9127.2+12807.8+6081.09+3831.23</f>
        <v>41527.100000000006</v>
      </c>
      <c r="F15" s="44">
        <v>37793.35</v>
      </c>
      <c r="G15" s="44"/>
      <c r="H15" s="44"/>
      <c r="I15" s="44"/>
      <c r="J15" s="44"/>
      <c r="K15" s="44">
        <f>I15-J15</f>
        <v>0</v>
      </c>
      <c r="L15" s="6"/>
    </row>
    <row r="16" spans="1:12" s="9" customFormat="1" ht="13.5" thickBot="1" x14ac:dyDescent="0.25">
      <c r="A16" s="61"/>
      <c r="B16" s="62" t="s">
        <v>29</v>
      </c>
      <c r="C16" s="63"/>
      <c r="D16" s="63"/>
      <c r="E16" s="63"/>
      <c r="F16" s="63">
        <f>622165.47</f>
        <v>622165.47</v>
      </c>
      <c r="G16" s="63"/>
      <c r="H16" s="64"/>
      <c r="I16" s="63"/>
      <c r="J16" s="63"/>
      <c r="K16" s="63"/>
      <c r="L16" s="6"/>
    </row>
    <row r="17" spans="1:13" s="9" customFormat="1" ht="29.25" customHeight="1" thickBot="1" x14ac:dyDescent="0.25">
      <c r="A17" s="57">
        <v>4</v>
      </c>
      <c r="B17" s="58" t="s">
        <v>16</v>
      </c>
      <c r="C17" s="59">
        <f>25000000</f>
        <v>25000000</v>
      </c>
      <c r="D17" s="59">
        <v>24629237.530000001</v>
      </c>
      <c r="E17" s="59"/>
      <c r="F17" s="59"/>
      <c r="G17" s="59">
        <f>1195681.89+311.86+822.79+317.09+8+312.33+2142.75+2553.43+4008.5+6982.74+7192.33+6303.01+5211.4+4607.13+3993.43+3372.68+2850.27+2815.29+2438.26+1443.29+538.07</f>
        <v>1253906.54</v>
      </c>
      <c r="H17" s="60">
        <v>30</v>
      </c>
      <c r="I17" s="59">
        <f>21663277.26+150000+415000+1200000</f>
        <v>23428277.260000002</v>
      </c>
      <c r="J17" s="59">
        <f>21466197.26+92480+104600+20000+35000+80000+125000+75000+100000+190000+180000+120000+120000+120000+40000+180000+180000+200000</f>
        <v>23428277.260000002</v>
      </c>
      <c r="K17" s="59">
        <f>I17-J17</f>
        <v>0</v>
      </c>
    </row>
    <row r="18" spans="1:13" s="9" customFormat="1" ht="26.25" thickBot="1" x14ac:dyDescent="0.25">
      <c r="A18" s="57">
        <v>5</v>
      </c>
      <c r="B18" s="58" t="s">
        <v>23</v>
      </c>
      <c r="C18" s="59">
        <v>10500000</v>
      </c>
      <c r="D18" s="59">
        <f>3551660+1454106.6</f>
        <v>5005766.5999999996</v>
      </c>
      <c r="E18" s="59"/>
      <c r="F18" s="66"/>
      <c r="G18" s="67">
        <f>32226.82+410.93+500+1433.8+355.05+2122.94</f>
        <v>37049.540000000008</v>
      </c>
      <c r="H18" s="60">
        <f>5913+10+67+66+31+33+46+45+62</f>
        <v>6273</v>
      </c>
      <c r="I18" s="59">
        <f>60445900+135000+955000+890000+435000+450000+640000+645000+865000</f>
        <v>65460900</v>
      </c>
      <c r="J18" s="59">
        <f>56613576.91+861281+813491.14+831351.16+852541.41+749461+749734.67+708165.2+635674.42</f>
        <v>62815276.909999996</v>
      </c>
      <c r="K18" s="59">
        <f>I18-J18</f>
        <v>2645623.0900000036</v>
      </c>
    </row>
    <row r="19" spans="1:13" s="9" customFormat="1" ht="12.75" x14ac:dyDescent="0.2">
      <c r="A19" s="20"/>
      <c r="B19" s="71" t="s">
        <v>4</v>
      </c>
      <c r="C19" s="72"/>
      <c r="D19" s="72"/>
      <c r="E19" s="72"/>
      <c r="F19" s="72"/>
      <c r="G19" s="72"/>
      <c r="H19" s="73"/>
      <c r="I19" s="74"/>
      <c r="J19" s="74"/>
      <c r="K19" s="75"/>
    </row>
    <row r="20" spans="1:13" s="9" customFormat="1" ht="12.75" x14ac:dyDescent="0.2">
      <c r="A20" s="21"/>
      <c r="B20" s="53" t="s">
        <v>5</v>
      </c>
      <c r="C20" s="76"/>
      <c r="D20" s="76"/>
      <c r="E20" s="76"/>
      <c r="F20" s="76"/>
      <c r="G20" s="76">
        <f>G6+G10+G14</f>
        <v>8207932.5700000003</v>
      </c>
      <c r="H20" s="77"/>
      <c r="I20" s="76">
        <f t="shared" ref="I20:K21" si="0">I6+I10+I14</f>
        <v>1253805424.0499997</v>
      </c>
      <c r="J20" s="76">
        <f t="shared" si="0"/>
        <v>1182327891.8699994</v>
      </c>
      <c r="K20" s="76">
        <f t="shared" si="0"/>
        <v>71477532.180000246</v>
      </c>
    </row>
    <row r="21" spans="1:13" s="9" customFormat="1" ht="12.75" x14ac:dyDescent="0.2">
      <c r="A21" s="21"/>
      <c r="B21" s="53" t="s">
        <v>20</v>
      </c>
      <c r="C21" s="76"/>
      <c r="D21" s="76"/>
      <c r="E21" s="76"/>
      <c r="F21" s="76"/>
      <c r="G21" s="76">
        <f>G7+G11+G15</f>
        <v>0</v>
      </c>
      <c r="H21" s="77"/>
      <c r="I21" s="76">
        <f t="shared" si="0"/>
        <v>4847240.16</v>
      </c>
      <c r="J21" s="76">
        <f t="shared" si="0"/>
        <v>1334336.44</v>
      </c>
      <c r="K21" s="76">
        <f t="shared" si="0"/>
        <v>3512903.7200000007</v>
      </c>
    </row>
    <row r="22" spans="1:13" s="9" customFormat="1" ht="13.5" thickBot="1" x14ac:dyDescent="0.25">
      <c r="A22" s="22"/>
      <c r="B22" s="62" t="s">
        <v>6</v>
      </c>
      <c r="C22" s="78"/>
      <c r="D22" s="78"/>
      <c r="E22" s="78"/>
      <c r="F22" s="78"/>
      <c r="G22" s="78">
        <f>G17+G18</f>
        <v>1290956.08</v>
      </c>
      <c r="H22" s="79"/>
      <c r="I22" s="78">
        <f>I17+I18</f>
        <v>88889177.260000005</v>
      </c>
      <c r="J22" s="78">
        <f>J17+J18</f>
        <v>86243554.170000002</v>
      </c>
      <c r="K22" s="78">
        <f>K17+K18</f>
        <v>2645623.0900000036</v>
      </c>
    </row>
    <row r="23" spans="1:13" ht="12.75" x14ac:dyDescent="0.2">
      <c r="A23" s="14"/>
      <c r="B23" s="15"/>
      <c r="C23" s="16"/>
      <c r="D23" s="16"/>
      <c r="E23" s="16"/>
      <c r="F23" s="16"/>
      <c r="G23" s="17"/>
      <c r="H23" s="18"/>
      <c r="I23" s="19"/>
      <c r="J23" s="19"/>
      <c r="K23" s="19"/>
    </row>
    <row r="24" spans="1:13" ht="12.75" x14ac:dyDescent="0.2">
      <c r="A24" s="30"/>
      <c r="B24" s="26" t="s">
        <v>7</v>
      </c>
      <c r="C24" s="41"/>
      <c r="D24" s="41"/>
      <c r="E24" s="41"/>
      <c r="F24" s="41"/>
      <c r="G24" s="42"/>
      <c r="H24" s="43">
        <f>H5+H9+H17+H14</f>
        <v>268</v>
      </c>
      <c r="I24" s="29"/>
      <c r="J24" s="29"/>
      <c r="K24" s="29"/>
      <c r="M24" s="4"/>
    </row>
    <row r="25" spans="1:13" ht="12.75" x14ac:dyDescent="0.2">
      <c r="A25" s="30">
        <v>1</v>
      </c>
      <c r="B25" s="82" t="s">
        <v>35</v>
      </c>
      <c r="C25" s="83"/>
      <c r="D25" s="83"/>
      <c r="E25" s="83"/>
      <c r="F25" s="83"/>
      <c r="G25" s="84"/>
      <c r="H25" s="27">
        <v>22</v>
      </c>
      <c r="I25" s="36"/>
      <c r="J25" s="36"/>
      <c r="K25" s="36"/>
    </row>
    <row r="26" spans="1:13" ht="12.75" x14ac:dyDescent="0.2">
      <c r="A26" s="30"/>
      <c r="B26" s="31" t="s">
        <v>5</v>
      </c>
      <c r="C26" s="32"/>
      <c r="D26" s="32"/>
      <c r="E26" s="32"/>
      <c r="F26" s="32"/>
      <c r="G26" s="33"/>
      <c r="H26" s="26">
        <v>20</v>
      </c>
      <c r="I26" s="25">
        <f>58449923.01-2418000+1984610.82+6199411.39+9255187.68+5890986.88+877579.91+1211951.7+17270361.31+19585145.25+14999421.67+5548652.86+3985029+18055820.2+591609.66</f>
        <v>161487691.34</v>
      </c>
      <c r="J26" s="25">
        <f>42800810.83+1015123.38+1123774.66+983896.79+2785082.2-1816625.73+3812662.57+2733733.23+1398961.22+4190366.04+4682562.35+4082056+6641040+4230520+5171120+4627120+3276520+5214920+5304647.85+3924720+2441207+3336072+1756922+914803+856706+947235+2569306+24341191.17+234000+2106000+6000000</f>
        <v>151686453.56</v>
      </c>
      <c r="K26" s="29">
        <f>I26-J26</f>
        <v>9801237.7800000012</v>
      </c>
    </row>
    <row r="27" spans="1:13" ht="12.75" x14ac:dyDescent="0.2">
      <c r="A27" s="30"/>
      <c r="B27" s="31" t="s">
        <v>20</v>
      </c>
      <c r="C27" s="32"/>
      <c r="D27" s="32"/>
      <c r="E27" s="32"/>
      <c r="F27" s="32"/>
      <c r="G27" s="33"/>
      <c r="H27" s="26">
        <v>2</v>
      </c>
      <c r="I27" s="25">
        <v>34560</v>
      </c>
      <c r="J27" s="25">
        <f>17280+900+3900+508.25+91.75+900+900+900+900</f>
        <v>26280</v>
      </c>
      <c r="K27" s="29">
        <f>I27-J27</f>
        <v>8280</v>
      </c>
    </row>
    <row r="28" spans="1:13" ht="12.75" customHeight="1" x14ac:dyDescent="0.2">
      <c r="A28" s="30">
        <v>2</v>
      </c>
      <c r="B28" s="91" t="s">
        <v>8</v>
      </c>
      <c r="C28" s="92"/>
      <c r="D28" s="92"/>
      <c r="E28" s="92"/>
      <c r="F28" s="92"/>
      <c r="G28" s="93"/>
      <c r="H28" s="27">
        <f>SUM(H29:H31)</f>
        <v>95</v>
      </c>
      <c r="I28" s="25"/>
      <c r="J28" s="25"/>
      <c r="K28" s="29"/>
    </row>
    <row r="29" spans="1:13" ht="12.75" x14ac:dyDescent="0.2">
      <c r="A29" s="30"/>
      <c r="B29" s="31" t="s">
        <v>5</v>
      </c>
      <c r="C29" s="32"/>
      <c r="D29" s="32"/>
      <c r="E29" s="32"/>
      <c r="F29" s="32"/>
      <c r="G29" s="33"/>
      <c r="H29" s="26">
        <v>72</v>
      </c>
      <c r="I29" s="25">
        <f>257703711.45+12250000+21945037.42+5678000+8702733.44+22169564.56+14020800.95+80866057.96+20945995+5704776+34370479.57+7405240+575900.28</f>
        <v>492338296.62999994</v>
      </c>
      <c r="J29" s="25">
        <f>237077728.14+900174.21+2335437.19+2139090.27+1526219.62+4688703.21+878060+2062030+619869+8285793+10734563+6660860+8661414+17768325+8963718.54+6888022.79+15066684+18848548+11410956+6627628+9149595.75+12423146.73+5054222.25+6091423.13+8884159.25+13183168.75+23058233.55+4861566+8640715.1+10072994.15</f>
        <v>473563048.63000005</v>
      </c>
      <c r="K29" s="29">
        <f>I29-J29</f>
        <v>18775247.999999881</v>
      </c>
    </row>
    <row r="30" spans="1:13" ht="12.75" x14ac:dyDescent="0.2">
      <c r="A30" s="30"/>
      <c r="B30" s="31" t="s">
        <v>20</v>
      </c>
      <c r="C30" s="32"/>
      <c r="D30" s="32"/>
      <c r="E30" s="32"/>
      <c r="F30" s="32"/>
      <c r="G30" s="33"/>
      <c r="H30" s="26">
        <f>10+4+1+1+2</f>
        <v>18</v>
      </c>
      <c r="I30" s="25">
        <f>253674.59+197362.5+311490+19352.05+513081.07+302547.12+394040.24+48212.26+713266.22+36369.14</f>
        <v>2789395.19</v>
      </c>
      <c r="J30" s="25">
        <f>1158+2640+17489+23274+5074+16224+139699.05+132109.88+56514+95678+192143.66</f>
        <v>682003.59</v>
      </c>
      <c r="K30" s="29">
        <f>I30-J30</f>
        <v>2107391.6</v>
      </c>
    </row>
    <row r="31" spans="1:13" ht="12.75" x14ac:dyDescent="0.2">
      <c r="A31" s="30"/>
      <c r="B31" s="31" t="s">
        <v>6</v>
      </c>
      <c r="C31" s="32"/>
      <c r="D31" s="32"/>
      <c r="E31" s="32"/>
      <c r="F31" s="32"/>
      <c r="G31" s="33"/>
      <c r="H31" s="26">
        <v>5</v>
      </c>
      <c r="I31" s="25">
        <v>4231882.26</v>
      </c>
      <c r="J31" s="25">
        <v>4231882.26</v>
      </c>
      <c r="K31" s="29">
        <f>I31-J31</f>
        <v>0</v>
      </c>
    </row>
    <row r="32" spans="1:13" ht="12.75" customHeight="1" x14ac:dyDescent="0.2">
      <c r="A32" s="30">
        <v>3</v>
      </c>
      <c r="B32" s="82" t="s">
        <v>34</v>
      </c>
      <c r="C32" s="83"/>
      <c r="D32" s="83"/>
      <c r="E32" s="83"/>
      <c r="F32" s="83"/>
      <c r="G32" s="84"/>
      <c r="H32" s="27">
        <v>11</v>
      </c>
      <c r="I32" s="25">
        <f>62084259.58+19179731.91+820268.09+20000000-0.04</f>
        <v>102084259.53999999</v>
      </c>
      <c r="J32" s="25">
        <f>36456687.2+1686814+740222.97+386482+440741+2123265.64+109683.93+44015.59+122221+21221573.62+4500000+1111110+5611308.01+1111110+1111110+1111110+5611110+1111110+444444+111111+4611111+111111+1930131.58+1711110+1711110+1711110+1711110+1711110+1711126</f>
        <v>102084259.54000001</v>
      </c>
      <c r="K32" s="29">
        <f>I32-J32</f>
        <v>0</v>
      </c>
    </row>
    <row r="33" spans="1:11" ht="12.75" x14ac:dyDescent="0.2">
      <c r="A33" s="30">
        <v>4</v>
      </c>
      <c r="B33" s="82" t="s">
        <v>25</v>
      </c>
      <c r="C33" s="83"/>
      <c r="D33" s="83"/>
      <c r="E33" s="83"/>
      <c r="F33" s="83"/>
      <c r="G33" s="84"/>
      <c r="H33" s="27">
        <f>SUM(H34:H35)</f>
        <v>28</v>
      </c>
      <c r="I33" s="28"/>
      <c r="J33" s="28"/>
      <c r="K33" s="28"/>
    </row>
    <row r="34" spans="1:11" ht="12.75" x14ac:dyDescent="0.2">
      <c r="A34" s="30"/>
      <c r="B34" s="31" t="s">
        <v>5</v>
      </c>
      <c r="C34" s="32"/>
      <c r="D34" s="32"/>
      <c r="E34" s="32"/>
      <c r="F34" s="32"/>
      <c r="G34" s="33"/>
      <c r="H34" s="26">
        <v>24</v>
      </c>
      <c r="I34" s="25">
        <f>87782890+4292334+744574.9+101224+1645100-0.01</f>
        <v>94566122.890000001</v>
      </c>
      <c r="J34" s="25">
        <f>67244328.17+382513+120041.37+160234+60234+280708+166928+33464+8693927.24+33467+2039703.23+101223+115094.92+4292335+328690.29+1139591.27+745070.9+641899.33+42421+887018.97-0.01+149628.96+344530.69+144986+144986+318254.55+342040.55-318254.55+327622.9+144986+444191.11</f>
        <v>89551864.890000001</v>
      </c>
      <c r="K34" s="29">
        <f>I34-J34</f>
        <v>5014258</v>
      </c>
    </row>
    <row r="35" spans="1:11" ht="12.75" x14ac:dyDescent="0.2">
      <c r="A35" s="30"/>
      <c r="B35" s="31" t="s">
        <v>20</v>
      </c>
      <c r="C35" s="32"/>
      <c r="D35" s="32"/>
      <c r="E35" s="32"/>
      <c r="F35" s="32"/>
      <c r="G35" s="33"/>
      <c r="H35" s="26">
        <f>3+1</f>
        <v>4</v>
      </c>
      <c r="I35" s="25">
        <f>182589.85+10245.8+12157.2+6517.67+15500</f>
        <v>227010.52000000002</v>
      </c>
      <c r="J35" s="25">
        <f>4405+4875+1930+2520+11920+15410+14890+3210+14730</f>
        <v>73890</v>
      </c>
      <c r="K35" s="29">
        <f>I35-J35</f>
        <v>153120.52000000002</v>
      </c>
    </row>
    <row r="36" spans="1:11" ht="12.75" customHeight="1" x14ac:dyDescent="0.2">
      <c r="A36" s="30">
        <v>5</v>
      </c>
      <c r="B36" s="82" t="s">
        <v>24</v>
      </c>
      <c r="C36" s="83"/>
      <c r="D36" s="83"/>
      <c r="E36" s="83"/>
      <c r="F36" s="83"/>
      <c r="G36" s="84"/>
      <c r="H36" s="27">
        <f>SUM(H37:H39)</f>
        <v>25</v>
      </c>
      <c r="I36" s="25"/>
      <c r="J36" s="25"/>
      <c r="K36" s="29"/>
    </row>
    <row r="37" spans="1:11" ht="12.75" x14ac:dyDescent="0.2">
      <c r="A37" s="30"/>
      <c r="B37" s="31" t="s">
        <v>5</v>
      </c>
      <c r="C37" s="32"/>
      <c r="D37" s="32"/>
      <c r="E37" s="32"/>
      <c r="F37" s="32"/>
      <c r="G37" s="33"/>
      <c r="H37" s="26">
        <v>18</v>
      </c>
      <c r="I37" s="25">
        <f>139991471.93+4033676.12+684477+2883425.33+38563189.74+8548592.21+3008757.57+0.7</f>
        <v>197713590.60000002</v>
      </c>
      <c r="J37" s="25">
        <f>68884737.41+3571600+1769300+3402618.63+4696700+5663368+5006295.67+6646855.91+6009220.83+7044433+1+4721239.85+5174818.99+6184600+6841050+9791296.98+5182665.93+4697000+5113000</f>
        <v>160400802.19999996</v>
      </c>
      <c r="K37" s="29">
        <f>I37-J37</f>
        <v>37312788.400000066</v>
      </c>
    </row>
    <row r="38" spans="1:11" ht="12.75" x14ac:dyDescent="0.2">
      <c r="A38" s="30"/>
      <c r="B38" s="31" t="s">
        <v>20</v>
      </c>
      <c r="C38" s="32"/>
      <c r="D38" s="32"/>
      <c r="E38" s="32"/>
      <c r="F38" s="32"/>
      <c r="G38" s="33"/>
      <c r="H38" s="26">
        <f>2+1+1+1</f>
        <v>5</v>
      </c>
      <c r="I38" s="25">
        <f>34871.06+337968.94+51750+122404.7+233823.46+21978+17528.8</f>
        <v>820324.96</v>
      </c>
      <c r="J38" s="25">
        <f>8000+10700+3635+1905+1905+1205+10660+20129+32729+9729+30536+54626</f>
        <v>185759</v>
      </c>
      <c r="K38" s="29">
        <f>I38-J38</f>
        <v>634565.96</v>
      </c>
    </row>
    <row r="39" spans="1:11" ht="12.75" x14ac:dyDescent="0.2">
      <c r="A39" s="30"/>
      <c r="B39" s="31" t="s">
        <v>6</v>
      </c>
      <c r="C39" s="32"/>
      <c r="D39" s="32"/>
      <c r="E39" s="32"/>
      <c r="F39" s="32"/>
      <c r="G39" s="33"/>
      <c r="H39" s="26">
        <v>2</v>
      </c>
      <c r="I39" s="25">
        <v>2008000</v>
      </c>
      <c r="J39" s="25">
        <f>1200000+2479.34+400000+405520.66</f>
        <v>2008000</v>
      </c>
      <c r="K39" s="29">
        <f>I39-J39</f>
        <v>0</v>
      </c>
    </row>
    <row r="40" spans="1:11" ht="12.75" x14ac:dyDescent="0.2">
      <c r="A40" s="30">
        <v>6</v>
      </c>
      <c r="B40" s="82" t="s">
        <v>32</v>
      </c>
      <c r="C40" s="83"/>
      <c r="D40" s="83"/>
      <c r="E40" s="83"/>
      <c r="F40" s="83"/>
      <c r="G40" s="84"/>
      <c r="H40" s="34">
        <f>SUM(H41:H42)</f>
        <v>21</v>
      </c>
      <c r="I40" s="28"/>
      <c r="J40" s="28"/>
      <c r="K40" s="28"/>
    </row>
    <row r="41" spans="1:11" ht="12.75" x14ac:dyDescent="0.2">
      <c r="A41" s="30"/>
      <c r="B41" s="31" t="s">
        <v>5</v>
      </c>
      <c r="C41" s="32"/>
      <c r="D41" s="32"/>
      <c r="E41" s="32"/>
      <c r="F41" s="32"/>
      <c r="G41" s="33"/>
      <c r="H41" s="26">
        <v>13</v>
      </c>
      <c r="I41" s="25">
        <f>107761329+11469569.93</f>
        <v>119230898.93000001</v>
      </c>
      <c r="J41" s="25">
        <f>79002285.78+6392703.55+1353480+1529740+1814220+13492039.67+1953960+1452000+876000+976000+776000+853000+1050000+1200000+560279.32+600000+1150000+1400000+1049899.99+1050000+600000+99290.62</f>
        <v>119230898.92999999</v>
      </c>
      <c r="K41" s="29">
        <f>I41-J41</f>
        <v>0</v>
      </c>
    </row>
    <row r="42" spans="1:11" ht="12.75" x14ac:dyDescent="0.2">
      <c r="A42" s="30"/>
      <c r="B42" s="31" t="s">
        <v>20</v>
      </c>
      <c r="C42" s="32"/>
      <c r="D42" s="32"/>
      <c r="E42" s="32"/>
      <c r="F42" s="32"/>
      <c r="G42" s="33"/>
      <c r="H42" s="26">
        <f>3+2+2+1</f>
        <v>8</v>
      </c>
      <c r="I42" s="25">
        <f>15094+241104+191173.4+90474.17+75627</f>
        <v>613472.57000000007</v>
      </c>
      <c r="J42" s="25">
        <f>760+760+1626.47+5820+9524+107304.17+22422.09+9180+9510+19510</f>
        <v>186416.73</v>
      </c>
      <c r="K42" s="29">
        <f>I42-J42</f>
        <v>427055.84000000008</v>
      </c>
    </row>
    <row r="43" spans="1:11" ht="28.5" customHeight="1" x14ac:dyDescent="0.2">
      <c r="A43" s="30">
        <v>7</v>
      </c>
      <c r="B43" s="82" t="s">
        <v>9</v>
      </c>
      <c r="C43" s="83"/>
      <c r="D43" s="83"/>
      <c r="E43" s="83"/>
      <c r="F43" s="83"/>
      <c r="G43" s="84"/>
      <c r="H43" s="27">
        <f>SUM(H44:H46)</f>
        <v>43</v>
      </c>
      <c r="I43" s="25"/>
      <c r="J43" s="25"/>
      <c r="K43" s="29"/>
    </row>
    <row r="44" spans="1:11" ht="12.75" x14ac:dyDescent="0.2">
      <c r="A44" s="30"/>
      <c r="B44" s="31" t="s">
        <v>5</v>
      </c>
      <c r="C44" s="32"/>
      <c r="D44" s="32"/>
      <c r="E44" s="32"/>
      <c r="F44" s="32"/>
      <c r="G44" s="33"/>
      <c r="H44" s="26">
        <v>27</v>
      </c>
      <c r="I44" s="25">
        <f>81784467.6+2645574.52</f>
        <v>84430042.11999999</v>
      </c>
      <c r="J44" s="25">
        <f>61861802.12+1177800+1444800+1661800+1783800+1500510+1104780+1301780+1383780+1167280+1104780+1301780+1366120+1107280+1044780+1241780+1323780+977610</f>
        <v>83856042.120000005</v>
      </c>
      <c r="K44" s="29">
        <f>I44-J44</f>
        <v>573999.9999999851</v>
      </c>
    </row>
    <row r="45" spans="1:11" ht="12.75" x14ac:dyDescent="0.2">
      <c r="A45" s="30"/>
      <c r="B45" s="31" t="s">
        <v>6</v>
      </c>
      <c r="C45" s="32"/>
      <c r="D45" s="32"/>
      <c r="E45" s="32"/>
      <c r="F45" s="32"/>
      <c r="G45" s="33"/>
      <c r="H45" s="26">
        <v>12</v>
      </c>
      <c r="I45" s="25">
        <v>8262640</v>
      </c>
      <c r="J45" s="25">
        <f>8065560+92480+104600</f>
        <v>8262640</v>
      </c>
      <c r="K45" s="29">
        <f>I45-J45</f>
        <v>0</v>
      </c>
    </row>
    <row r="46" spans="1:11" ht="12.75" x14ac:dyDescent="0.2">
      <c r="A46" s="30"/>
      <c r="B46" s="31" t="s">
        <v>20</v>
      </c>
      <c r="C46" s="32"/>
      <c r="D46" s="32"/>
      <c r="E46" s="32"/>
      <c r="F46" s="32"/>
      <c r="G46" s="33"/>
      <c r="H46" s="26">
        <f>1+1+1+1</f>
        <v>4</v>
      </c>
      <c r="I46" s="25">
        <f>7935.12+10000+16013.3+10000</f>
        <v>43948.42</v>
      </c>
      <c r="J46" s="25">
        <f>1026+2391+2391+2391.82+5522.7+4726.48+10634+7163.42</f>
        <v>36246.42</v>
      </c>
      <c r="K46" s="29">
        <f>I46-J46</f>
        <v>7702</v>
      </c>
    </row>
    <row r="47" spans="1:11" ht="12.75" customHeight="1" x14ac:dyDescent="0.2">
      <c r="A47" s="30">
        <v>8</v>
      </c>
      <c r="B47" s="82" t="s">
        <v>33</v>
      </c>
      <c r="C47" s="83"/>
      <c r="D47" s="83"/>
      <c r="E47" s="83"/>
      <c r="F47" s="83"/>
      <c r="G47" s="84"/>
      <c r="H47" s="27">
        <v>3</v>
      </c>
      <c r="I47" s="25">
        <v>3679525</v>
      </c>
      <c r="J47" s="25">
        <f>3135858+300000+243667</f>
        <v>3679525</v>
      </c>
      <c r="K47" s="29">
        <f>I47-J47</f>
        <v>0</v>
      </c>
    </row>
    <row r="48" spans="1:11" ht="12.75" x14ac:dyDescent="0.2">
      <c r="A48" s="30">
        <v>9</v>
      </c>
      <c r="B48" s="82" t="s">
        <v>10</v>
      </c>
      <c r="C48" s="83"/>
      <c r="D48" s="83"/>
      <c r="E48" s="83"/>
      <c r="F48" s="83"/>
      <c r="G48" s="84"/>
      <c r="H48" s="27">
        <f>SUM(H49:H50)</f>
        <v>4</v>
      </c>
      <c r="I48" s="25"/>
      <c r="J48" s="25"/>
      <c r="K48" s="29"/>
    </row>
    <row r="49" spans="1:11" ht="12.75" x14ac:dyDescent="0.2">
      <c r="A49" s="30"/>
      <c r="B49" s="31" t="s">
        <v>5</v>
      </c>
      <c r="C49" s="32"/>
      <c r="D49" s="32"/>
      <c r="E49" s="32"/>
      <c r="F49" s="32"/>
      <c r="G49" s="33"/>
      <c r="H49" s="26">
        <v>2</v>
      </c>
      <c r="I49" s="25">
        <v>180000</v>
      </c>
      <c r="J49" s="25">
        <v>180000</v>
      </c>
      <c r="K49" s="29">
        <f>I49-J49</f>
        <v>0</v>
      </c>
    </row>
    <row r="50" spans="1:11" ht="12.75" x14ac:dyDescent="0.2">
      <c r="A50" s="30"/>
      <c r="B50" s="31" t="s">
        <v>6</v>
      </c>
      <c r="C50" s="32"/>
      <c r="D50" s="32"/>
      <c r="E50" s="32"/>
      <c r="F50" s="32"/>
      <c r="G50" s="33"/>
      <c r="H50" s="26">
        <v>2</v>
      </c>
      <c r="I50" s="25">
        <v>738750</v>
      </c>
      <c r="J50" s="25">
        <f>618376.13+20845+20845+20845+20845+36993.87</f>
        <v>738750</v>
      </c>
      <c r="K50" s="29">
        <f>I50-J50</f>
        <v>0</v>
      </c>
    </row>
    <row r="51" spans="1:11" ht="12.75" customHeight="1" x14ac:dyDescent="0.2">
      <c r="A51" s="30">
        <v>10</v>
      </c>
      <c r="B51" s="82" t="s">
        <v>17</v>
      </c>
      <c r="C51" s="83"/>
      <c r="D51" s="83"/>
      <c r="E51" s="83"/>
      <c r="F51" s="83"/>
      <c r="G51" s="84"/>
      <c r="H51" s="27">
        <f>SUM(H52:H54)</f>
        <v>7</v>
      </c>
      <c r="I51" s="35"/>
      <c r="J51" s="35"/>
      <c r="K51" s="28"/>
    </row>
    <row r="52" spans="1:11" ht="12.75" customHeight="1" x14ac:dyDescent="0.2">
      <c r="A52" s="30"/>
      <c r="B52" s="31" t="s">
        <v>18</v>
      </c>
      <c r="C52" s="32"/>
      <c r="D52" s="32"/>
      <c r="E52" s="32"/>
      <c r="F52" s="32"/>
      <c r="G52" s="33"/>
      <c r="H52" s="26">
        <v>1</v>
      </c>
      <c r="I52" s="25">
        <v>1200000</v>
      </c>
      <c r="J52" s="25">
        <f>40000+120000+120000+120000+120000+120000+150000+410000</f>
        <v>1200000</v>
      </c>
      <c r="K52" s="29">
        <f t="shared" ref="K52:K59" si="1">I52-J52</f>
        <v>0</v>
      </c>
    </row>
    <row r="53" spans="1:11" ht="12.75" customHeight="1" x14ac:dyDescent="0.2">
      <c r="A53" s="30"/>
      <c r="B53" s="31" t="s">
        <v>6</v>
      </c>
      <c r="C53" s="32"/>
      <c r="D53" s="32"/>
      <c r="E53" s="32"/>
      <c r="F53" s="32"/>
      <c r="G53" s="33"/>
      <c r="H53" s="26">
        <v>4</v>
      </c>
      <c r="I53" s="25">
        <f>1692480+150000+415000</f>
        <v>2257480</v>
      </c>
      <c r="J53" s="25">
        <f>1638636+19800+20850+13194+20000+35000+80000+125000+75000+100000+70000+60000</f>
        <v>2257480</v>
      </c>
      <c r="K53" s="29">
        <f t="shared" si="1"/>
        <v>0</v>
      </c>
    </row>
    <row r="54" spans="1:11" ht="12.75" customHeight="1" x14ac:dyDescent="0.2">
      <c r="A54" s="30"/>
      <c r="B54" s="31" t="s">
        <v>20</v>
      </c>
      <c r="C54" s="32"/>
      <c r="D54" s="32"/>
      <c r="E54" s="32"/>
      <c r="F54" s="32"/>
      <c r="G54" s="33"/>
      <c r="H54" s="26">
        <f>1+1</f>
        <v>2</v>
      </c>
      <c r="I54" s="25">
        <f>76148+43852+77570.56+37874.14</f>
        <v>235444.7</v>
      </c>
      <c r="J54" s="25">
        <f>572+858+3089+7551+7551+9308+8196+8981+14551</f>
        <v>60657</v>
      </c>
      <c r="K54" s="29">
        <f t="shared" si="1"/>
        <v>174787.7</v>
      </c>
    </row>
    <row r="55" spans="1:11" ht="12.75" x14ac:dyDescent="0.2">
      <c r="A55" s="30">
        <v>11</v>
      </c>
      <c r="B55" s="82" t="s">
        <v>36</v>
      </c>
      <c r="C55" s="83"/>
      <c r="D55" s="83"/>
      <c r="E55" s="83"/>
      <c r="F55" s="83"/>
      <c r="G55" s="84"/>
      <c r="H55" s="27">
        <v>1</v>
      </c>
      <c r="I55" s="25">
        <v>1050000</v>
      </c>
      <c r="J55" s="25">
        <f>875000.7+29166.69+29166.69+29166.69+29166.69+58332.54</f>
        <v>1049999.9999999998</v>
      </c>
      <c r="K55" s="29">
        <f t="shared" si="1"/>
        <v>0</v>
      </c>
    </row>
    <row r="56" spans="1:11" ht="12.75" x14ac:dyDescent="0.2">
      <c r="A56" s="30">
        <v>12</v>
      </c>
      <c r="B56" s="82" t="s">
        <v>37</v>
      </c>
      <c r="C56" s="83"/>
      <c r="D56" s="83"/>
      <c r="E56" s="83"/>
      <c r="F56" s="83"/>
      <c r="G56" s="84"/>
      <c r="H56" s="27">
        <v>1</v>
      </c>
      <c r="I56" s="25">
        <v>1200000</v>
      </c>
      <c r="J56" s="25">
        <f>120000+120000+120000+120000+120000+40000+180000+180000+200000</f>
        <v>1200000</v>
      </c>
      <c r="K56" s="29">
        <f t="shared" si="1"/>
        <v>0</v>
      </c>
    </row>
    <row r="57" spans="1:11" ht="12.75" x14ac:dyDescent="0.2">
      <c r="A57" s="30">
        <v>13</v>
      </c>
      <c r="B57" s="85" t="s">
        <v>38</v>
      </c>
      <c r="C57" s="85"/>
      <c r="D57" s="85"/>
      <c r="E57" s="85"/>
      <c r="F57" s="85"/>
      <c r="G57" s="85"/>
      <c r="H57" s="34">
        <v>1</v>
      </c>
      <c r="I57" s="25">
        <v>574522</v>
      </c>
      <c r="J57" s="25">
        <f>17953+53859+53859+53859.12+17954.94+53859+53859+53859+53859+83254+78346.94</f>
        <v>574522</v>
      </c>
      <c r="K57" s="29">
        <f t="shared" si="1"/>
        <v>0</v>
      </c>
    </row>
    <row r="58" spans="1:11" ht="12.75" x14ac:dyDescent="0.2">
      <c r="A58" s="30">
        <v>14</v>
      </c>
      <c r="B58" s="85" t="s">
        <v>39</v>
      </c>
      <c r="C58" s="85"/>
      <c r="D58" s="85"/>
      <c r="E58" s="85"/>
      <c r="F58" s="85"/>
      <c r="G58" s="85"/>
      <c r="H58" s="34">
        <v>1</v>
      </c>
      <c r="I58" s="25">
        <v>78300</v>
      </c>
      <c r="J58" s="25">
        <f>38000+5000+13300+22000</f>
        <v>78300</v>
      </c>
      <c r="K58" s="29">
        <f t="shared" si="1"/>
        <v>0</v>
      </c>
    </row>
    <row r="59" spans="1:11" ht="13.5" thickBot="1" x14ac:dyDescent="0.25">
      <c r="A59" s="37">
        <v>15</v>
      </c>
      <c r="B59" s="86" t="s">
        <v>40</v>
      </c>
      <c r="C59" s="87"/>
      <c r="D59" s="87"/>
      <c r="E59" s="87"/>
      <c r="F59" s="87"/>
      <c r="G59" s="88"/>
      <c r="H59" s="38">
        <v>5</v>
      </c>
      <c r="I59" s="39">
        <v>4783.7</v>
      </c>
      <c r="J59" s="39">
        <f>956.27+3087.93+739.5</f>
        <v>4783.7</v>
      </c>
      <c r="K59" s="40">
        <f t="shared" si="1"/>
        <v>0</v>
      </c>
    </row>
    <row r="60" spans="1:11" s="5" customFormat="1" ht="14.25" customHeight="1" x14ac:dyDescent="0.2">
      <c r="A60" s="89"/>
      <c r="B60" s="89"/>
      <c r="C60" s="89"/>
      <c r="D60" s="89"/>
      <c r="E60" s="89"/>
      <c r="F60" s="89"/>
      <c r="G60" s="89"/>
      <c r="H60" s="89"/>
      <c r="I60" s="89"/>
      <c r="J60" s="89"/>
      <c r="K60" s="89"/>
    </row>
    <row r="61" spans="1:11" s="3" customFormat="1" ht="12.75" x14ac:dyDescent="0.2">
      <c r="A61" s="81" t="s">
        <v>15</v>
      </c>
      <c r="B61" s="81"/>
      <c r="C61" s="81"/>
      <c r="D61" s="81"/>
      <c r="E61" s="81"/>
      <c r="F61" s="81"/>
      <c r="G61" s="81"/>
      <c r="H61" s="81"/>
      <c r="I61" s="81"/>
      <c r="J61" s="81"/>
      <c r="K61" s="81"/>
    </row>
    <row r="62" spans="1:11" x14ac:dyDescent="0.2">
      <c r="A62" s="12"/>
      <c r="B62" s="5"/>
      <c r="C62" s="5"/>
      <c r="D62" s="5"/>
      <c r="E62" s="5"/>
      <c r="F62" s="5"/>
      <c r="G62" s="5"/>
      <c r="H62" s="70"/>
      <c r="I62" s="10"/>
      <c r="J62" s="10"/>
      <c r="K62" s="10"/>
    </row>
    <row r="63" spans="1:11" ht="12.75" x14ac:dyDescent="0.2">
      <c r="A63" s="13"/>
      <c r="B63" s="13"/>
      <c r="C63" s="13"/>
      <c r="D63" s="13"/>
      <c r="E63" s="13"/>
      <c r="F63" s="13"/>
      <c r="G63" s="5"/>
      <c r="H63" s="70"/>
      <c r="I63" s="10"/>
      <c r="J63" s="10"/>
      <c r="K63" s="10"/>
    </row>
    <row r="64" spans="1:11" x14ac:dyDescent="0.2">
      <c r="A64" s="12"/>
      <c r="B64" s="5"/>
      <c r="C64" s="5"/>
      <c r="D64" s="5"/>
      <c r="E64" s="5"/>
      <c r="F64" s="5"/>
      <c r="G64" s="5"/>
      <c r="I64" s="10"/>
      <c r="J64" s="10"/>
      <c r="K64" s="10"/>
    </row>
    <row r="65" spans="1:11" x14ac:dyDescent="0.2">
      <c r="A65" s="12"/>
      <c r="B65" s="5"/>
      <c r="C65" s="5"/>
      <c r="D65" s="5"/>
      <c r="E65" s="5"/>
      <c r="F65" s="5"/>
      <c r="G65" s="5"/>
      <c r="I65" s="10"/>
      <c r="J65" s="10"/>
      <c r="K65" s="10"/>
    </row>
    <row r="66" spans="1:11" x14ac:dyDescent="0.2">
      <c r="I66" s="10"/>
      <c r="J66" s="10"/>
      <c r="K66" s="10"/>
    </row>
  </sheetData>
  <mergeCells count="18">
    <mergeCell ref="B51:G51"/>
    <mergeCell ref="A2:K3"/>
    <mergeCell ref="B25:G25"/>
    <mergeCell ref="B28:G28"/>
    <mergeCell ref="B32:G32"/>
    <mergeCell ref="B33:G33"/>
    <mergeCell ref="B36:G36"/>
    <mergeCell ref="B40:G40"/>
    <mergeCell ref="B43:G43"/>
    <mergeCell ref="B47:G47"/>
    <mergeCell ref="B48:G48"/>
    <mergeCell ref="A61:K61"/>
    <mergeCell ref="B55:G55"/>
    <mergeCell ref="B56:G56"/>
    <mergeCell ref="B57:G57"/>
    <mergeCell ref="B58:G58"/>
    <mergeCell ref="B59:G59"/>
    <mergeCell ref="A60:K60"/>
  </mergeCells>
  <pageMargins left="0.23622047244094491" right="0.23622047244094491" top="0.15748031496062992" bottom="0.15748031496062992" header="0" footer="0"/>
  <pageSetup paperSize="9" scale="99" orientation="landscape" r:id="rId1"/>
  <rowBreaks count="1" manualBreakCount="1">
    <brk id="35" max="10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на 31.12.22г</vt:lpstr>
      <vt:lpstr>'на 31.12.22г'!Заголовки_для_печати</vt:lpstr>
      <vt:lpstr>'на 31.12.22г'!Область_печати</vt:lpstr>
    </vt:vector>
  </TitlesOfParts>
  <Company>CtrlSoft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fgr13</dc:creator>
  <cp:lastModifiedBy>Маргарита Смиричинская</cp:lastModifiedBy>
  <cp:lastPrinted>2022-10-25T13:35:56Z</cp:lastPrinted>
  <dcterms:created xsi:type="dcterms:W3CDTF">2014-06-10T07:42:47Z</dcterms:created>
  <dcterms:modified xsi:type="dcterms:W3CDTF">2023-02-27T14:48:33Z</dcterms:modified>
</cp:coreProperties>
</file>